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680" windowWidth="12000" windowHeight="6315"/>
  </bookViews>
  <sheets>
    <sheet name="10year" sheetId="1" r:id="rId1"/>
    <sheet name="Expenses" sheetId="2" r:id="rId2"/>
  </sheets>
  <definedNames>
    <definedName name="_xlnm.Print_Area" localSheetId="0">'10year'!$A$1:$M$222</definedName>
    <definedName name="_xlnm.Print_Area">#N/A</definedName>
    <definedName name="PRINT_AREA_MI">#N/A</definedName>
  </definedNames>
  <calcPr calcId="145621"/>
</workbook>
</file>

<file path=xl/calcChain.xml><?xml version="1.0" encoding="utf-8"?>
<calcChain xmlns="http://schemas.openxmlformats.org/spreadsheetml/2006/main">
  <c r="B45" i="1" l="1"/>
  <c r="B40" i="1" l="1"/>
  <c r="B43" i="1" s="1"/>
  <c r="D142" i="1" s="1"/>
  <c r="B44" i="1"/>
  <c r="L42" i="1"/>
  <c r="C97" i="1"/>
  <c r="F97" i="1" s="1"/>
  <c r="F143" i="1"/>
  <c r="C144" i="1"/>
  <c r="G143" i="1"/>
  <c r="H143" i="1"/>
  <c r="I143" i="1"/>
  <c r="J143" i="1"/>
  <c r="K143" i="1"/>
  <c r="L143" i="1"/>
  <c r="M143" i="1"/>
  <c r="E143" i="1"/>
  <c r="D143" i="1"/>
  <c r="C49" i="1"/>
  <c r="G49" i="1" s="1"/>
  <c r="D50" i="1"/>
  <c r="C51" i="1"/>
  <c r="C57" i="1"/>
  <c r="F57" i="1" s="1"/>
  <c r="D58" i="1"/>
  <c r="C59" i="1"/>
  <c r="C60" i="1"/>
  <c r="G40" i="1"/>
  <c r="D90" i="1" s="1"/>
  <c r="G41" i="1"/>
  <c r="B41" i="1"/>
  <c r="C81" i="1"/>
  <c r="E81" i="1" s="1"/>
  <c r="D115" i="1"/>
  <c r="E115" i="1" s="1"/>
  <c r="F115" i="1" s="1"/>
  <c r="G115" i="1" s="1"/>
  <c r="H115" i="1" s="1"/>
  <c r="I115" i="1" s="1"/>
  <c r="J115" i="1" s="1"/>
  <c r="K115" i="1" s="1"/>
  <c r="L115" i="1" s="1"/>
  <c r="M115" i="1" s="1"/>
  <c r="D167" i="1"/>
  <c r="M40" i="1" l="1"/>
  <c r="L57" i="1"/>
  <c r="J57" i="1"/>
  <c r="I57" i="1"/>
  <c r="H57" i="1"/>
  <c r="D81" i="1"/>
  <c r="J81" i="1"/>
  <c r="M49" i="1"/>
  <c r="D51" i="1"/>
  <c r="D52" i="1" s="1"/>
  <c r="D60" i="1" s="1"/>
  <c r="E97" i="1"/>
  <c r="F49" i="1"/>
  <c r="M90" i="1"/>
  <c r="F90" i="1"/>
  <c r="E90" i="1"/>
  <c r="D98" i="1"/>
  <c r="D132" i="1" s="1"/>
  <c r="L90" i="1"/>
  <c r="K90" i="1"/>
  <c r="J90" i="1"/>
  <c r="I90" i="1"/>
  <c r="H90" i="1"/>
  <c r="G90" i="1"/>
  <c r="E57" i="1"/>
  <c r="E49" i="1"/>
  <c r="M97" i="1"/>
  <c r="L97" i="1"/>
  <c r="K97" i="1"/>
  <c r="J97" i="1"/>
  <c r="I97" i="1"/>
  <c r="H97" i="1"/>
  <c r="G97" i="1"/>
  <c r="D97" i="1"/>
  <c r="L43" i="1"/>
  <c r="D79" i="1" s="1"/>
  <c r="G81" i="1"/>
  <c r="K81" i="1"/>
  <c r="H81" i="1"/>
  <c r="M81" i="1"/>
  <c r="L81" i="1"/>
  <c r="I81" i="1"/>
  <c r="F81" i="1"/>
  <c r="M57" i="1"/>
  <c r="K57" i="1"/>
  <c r="G57" i="1"/>
  <c r="L49" i="1"/>
  <c r="K49" i="1"/>
  <c r="J49" i="1"/>
  <c r="I49" i="1"/>
  <c r="H49" i="1"/>
  <c r="E142" i="1"/>
  <c r="B42" i="1"/>
  <c r="D88" i="1" s="1"/>
  <c r="D114" i="1"/>
  <c r="E50" i="1"/>
  <c r="D99" i="1" l="1"/>
  <c r="D144" i="1" s="1"/>
  <c r="D150" i="1" s="1"/>
  <c r="D59" i="1"/>
  <c r="D61" i="1" s="1"/>
  <c r="D62" i="1" s="1"/>
  <c r="E58" i="1"/>
  <c r="F58" i="1" s="1"/>
  <c r="G58" i="1" s="1"/>
  <c r="H58" i="1" s="1"/>
  <c r="I58" i="1" s="1"/>
  <c r="J58" i="1" s="1"/>
  <c r="K58" i="1" s="1"/>
  <c r="L58" i="1" s="1"/>
  <c r="M58" i="1" s="1"/>
  <c r="E79" i="1"/>
  <c r="F79" i="1" s="1"/>
  <c r="G79" i="1" s="1"/>
  <c r="H79" i="1" s="1"/>
  <c r="I79" i="1" s="1"/>
  <c r="J79" i="1" s="1"/>
  <c r="K79" i="1" s="1"/>
  <c r="L79" i="1" s="1"/>
  <c r="M79" i="1" s="1"/>
  <c r="D145" i="1"/>
  <c r="E114" i="1"/>
  <c r="D116" i="1"/>
  <c r="F142" i="1"/>
  <c r="D89" i="1"/>
  <c r="E89" i="1"/>
  <c r="F89" i="1"/>
  <c r="I89" i="1"/>
  <c r="G89" i="1"/>
  <c r="H89" i="1"/>
  <c r="J89" i="1"/>
  <c r="K89" i="1"/>
  <c r="L89" i="1"/>
  <c r="M89" i="1"/>
  <c r="D133" i="1"/>
  <c r="D134" i="1" s="1"/>
  <c r="G42" i="1"/>
  <c r="E51" i="1"/>
  <c r="E52" i="1" s="1"/>
  <c r="F50" i="1"/>
  <c r="D100" i="1" l="1"/>
  <c r="D110" i="1" s="1"/>
  <c r="D128" i="1" s="1"/>
  <c r="D164" i="1"/>
  <c r="D154" i="1"/>
  <c r="D163" i="1" s="1"/>
  <c r="D149" i="1"/>
  <c r="D151" i="1" s="1"/>
  <c r="E98" i="1"/>
  <c r="E99" i="1" s="1"/>
  <c r="D65" i="1"/>
  <c r="D71" i="1" s="1"/>
  <c r="E145" i="1"/>
  <c r="F145" i="1" s="1"/>
  <c r="G145" i="1" s="1"/>
  <c r="H145" i="1" s="1"/>
  <c r="D146" i="1"/>
  <c r="D155" i="1" s="1"/>
  <c r="D156" i="1" s="1"/>
  <c r="D159" i="1" s="1"/>
  <c r="F51" i="1"/>
  <c r="F52" i="1" s="1"/>
  <c r="G50" i="1"/>
  <c r="E59" i="1"/>
  <c r="E60" i="1"/>
  <c r="E116" i="1"/>
  <c r="F114" i="1"/>
  <c r="F98" i="1"/>
  <c r="E149" i="1"/>
  <c r="E100" i="1"/>
  <c r="E110" i="1" s="1"/>
  <c r="E128" i="1" s="1"/>
  <c r="E154" i="1"/>
  <c r="E144" i="1"/>
  <c r="G142" i="1"/>
  <c r="G43" i="1"/>
  <c r="D91" i="1"/>
  <c r="D92" i="1" s="1"/>
  <c r="G91" i="1"/>
  <c r="G92" i="1" s="1"/>
  <c r="F91" i="1"/>
  <c r="F92" i="1" s="1"/>
  <c r="K91" i="1"/>
  <c r="K92" i="1" s="1"/>
  <c r="L91" i="1"/>
  <c r="L92" i="1" s="1"/>
  <c r="H91" i="1"/>
  <c r="H92" i="1" s="1"/>
  <c r="J91" i="1"/>
  <c r="J92" i="1" s="1"/>
  <c r="E91" i="1"/>
  <c r="E92" i="1" s="1"/>
  <c r="M91" i="1"/>
  <c r="M92" i="1" s="1"/>
  <c r="M165" i="1" s="1"/>
  <c r="I91" i="1"/>
  <c r="I92" i="1" s="1"/>
  <c r="E132" i="1" l="1"/>
  <c r="D185" i="1"/>
  <c r="D77" i="1"/>
  <c r="B46" i="1" s="1"/>
  <c r="E61" i="1"/>
  <c r="E62" i="1" s="1"/>
  <c r="F88" i="1"/>
  <c r="E165" i="1"/>
  <c r="K165" i="1"/>
  <c r="L88" i="1"/>
  <c r="K88" i="1"/>
  <c r="J165" i="1"/>
  <c r="G88" i="1"/>
  <c r="F165" i="1"/>
  <c r="L165" i="1"/>
  <c r="M88" i="1"/>
  <c r="F60" i="1"/>
  <c r="F59" i="1"/>
  <c r="E88" i="1"/>
  <c r="D165" i="1"/>
  <c r="D166" i="1" s="1"/>
  <c r="D168" i="1" s="1"/>
  <c r="D93" i="1"/>
  <c r="D109" i="1" s="1"/>
  <c r="D127" i="1" s="1"/>
  <c r="F72" i="1"/>
  <c r="I72" i="1"/>
  <c r="J72" i="1"/>
  <c r="E72" i="1"/>
  <c r="G72" i="1"/>
  <c r="H72" i="1"/>
  <c r="K72" i="1"/>
  <c r="L72" i="1"/>
  <c r="D72" i="1"/>
  <c r="D73" i="1" s="1"/>
  <c r="D74" i="1" s="1"/>
  <c r="M72" i="1"/>
  <c r="E163" i="1"/>
  <c r="G114" i="1"/>
  <c r="F116" i="1"/>
  <c r="H88" i="1"/>
  <c r="G165" i="1"/>
  <c r="I88" i="1"/>
  <c r="H165" i="1"/>
  <c r="J88" i="1"/>
  <c r="I165" i="1"/>
  <c r="H142" i="1"/>
  <c r="E164" i="1"/>
  <c r="E146" i="1"/>
  <c r="E155" i="1" s="1"/>
  <c r="E156" i="1" s="1"/>
  <c r="E159" i="1" s="1"/>
  <c r="E150" i="1"/>
  <c r="E151" i="1" s="1"/>
  <c r="E160" i="1" s="1"/>
  <c r="E167" i="1" s="1"/>
  <c r="F132" i="1"/>
  <c r="F99" i="1"/>
  <c r="H50" i="1"/>
  <c r="G51" i="1"/>
  <c r="G52" i="1" s="1"/>
  <c r="I145" i="1"/>
  <c r="D107" i="1" l="1"/>
  <c r="D94" i="1"/>
  <c r="E65" i="1"/>
  <c r="E71" i="1" s="1"/>
  <c r="E73" i="1" s="1"/>
  <c r="E74" i="1" s="1"/>
  <c r="E166" i="1"/>
  <c r="E168" i="1" s="1"/>
  <c r="J93" i="1"/>
  <c r="J109" i="1" s="1"/>
  <c r="J127" i="1" s="1"/>
  <c r="J133" i="1"/>
  <c r="H93" i="1"/>
  <c r="H109" i="1" s="1"/>
  <c r="H127" i="1" s="1"/>
  <c r="H133" i="1"/>
  <c r="L186" i="1"/>
  <c r="E186" i="1"/>
  <c r="F61" i="1"/>
  <c r="L93" i="1"/>
  <c r="L109" i="1" s="1"/>
  <c r="L127" i="1" s="1"/>
  <c r="L133" i="1"/>
  <c r="G59" i="1"/>
  <c r="G60" i="1"/>
  <c r="H51" i="1"/>
  <c r="H52" i="1" s="1"/>
  <c r="I50" i="1"/>
  <c r="K186" i="1"/>
  <c r="J186" i="1"/>
  <c r="G93" i="1"/>
  <c r="G109" i="1" s="1"/>
  <c r="G127" i="1" s="1"/>
  <c r="G133" i="1"/>
  <c r="I142" i="1"/>
  <c r="I93" i="1"/>
  <c r="I109" i="1" s="1"/>
  <c r="I127" i="1" s="1"/>
  <c r="I133" i="1"/>
  <c r="M186" i="1"/>
  <c r="H186" i="1"/>
  <c r="I186" i="1"/>
  <c r="E93" i="1"/>
  <c r="E109" i="1" s="1"/>
  <c r="E127" i="1" s="1"/>
  <c r="E133" i="1"/>
  <c r="E134" i="1" s="1"/>
  <c r="M93" i="1"/>
  <c r="M109" i="1" s="1"/>
  <c r="M127" i="1" s="1"/>
  <c r="M133" i="1"/>
  <c r="J145" i="1"/>
  <c r="D125" i="1"/>
  <c r="F149" i="1"/>
  <c r="F100" i="1"/>
  <c r="F110" i="1" s="1"/>
  <c r="F128" i="1" s="1"/>
  <c r="G98" i="1"/>
  <c r="F154" i="1"/>
  <c r="F144" i="1"/>
  <c r="H114" i="1"/>
  <c r="G116" i="1"/>
  <c r="D78" i="1"/>
  <c r="D80" i="1" s="1"/>
  <c r="D82" i="1" s="1"/>
  <c r="D108" i="1" s="1"/>
  <c r="D126" i="1" s="1"/>
  <c r="D186" i="1"/>
  <c r="D187" i="1" s="1"/>
  <c r="G186" i="1"/>
  <c r="F186" i="1"/>
  <c r="K133" i="1"/>
  <c r="K93" i="1"/>
  <c r="K109" i="1" s="1"/>
  <c r="K127" i="1" s="1"/>
  <c r="F93" i="1"/>
  <c r="F109" i="1" s="1"/>
  <c r="F127" i="1" s="1"/>
  <c r="F133" i="1"/>
  <c r="F134" i="1" s="1"/>
  <c r="E77" i="1" l="1"/>
  <c r="E107" i="1"/>
  <c r="E125" i="1" s="1"/>
  <c r="E94" i="1"/>
  <c r="E185" i="1"/>
  <c r="E187" i="1" s="1"/>
  <c r="J78" i="1"/>
  <c r="G78" i="1"/>
  <c r="H78" i="1"/>
  <c r="F62" i="1"/>
  <c r="F65" i="1"/>
  <c r="L78" i="1"/>
  <c r="J142" i="1"/>
  <c r="I51" i="1"/>
  <c r="I52" i="1" s="1"/>
  <c r="J50" i="1"/>
  <c r="F164" i="1"/>
  <c r="F146" i="1"/>
  <c r="F155" i="1" s="1"/>
  <c r="F156" i="1" s="1"/>
  <c r="F159" i="1" s="1"/>
  <c r="F150" i="1"/>
  <c r="F151" i="1" s="1"/>
  <c r="F160" i="1" s="1"/>
  <c r="F167" i="1" s="1"/>
  <c r="D111" i="1"/>
  <c r="K78" i="1"/>
  <c r="H59" i="1"/>
  <c r="H60" i="1"/>
  <c r="G132" i="1"/>
  <c r="G134" i="1" s="1"/>
  <c r="G99" i="1"/>
  <c r="H116" i="1"/>
  <c r="I114" i="1"/>
  <c r="K145" i="1"/>
  <c r="G61" i="1"/>
  <c r="F78" i="1"/>
  <c r="F163" i="1"/>
  <c r="I78" i="1"/>
  <c r="M78" i="1"/>
  <c r="E78" i="1"/>
  <c r="E80" i="1" s="1"/>
  <c r="E82" i="1" s="1"/>
  <c r="E108" i="1" s="1"/>
  <c r="F166" i="1" l="1"/>
  <c r="F168" i="1" s="1"/>
  <c r="H61" i="1"/>
  <c r="H62" i="1" s="1"/>
  <c r="E126" i="1"/>
  <c r="E111" i="1"/>
  <c r="G149" i="1"/>
  <c r="H98" i="1"/>
  <c r="G100" i="1"/>
  <c r="G110" i="1" s="1"/>
  <c r="G128" i="1" s="1"/>
  <c r="G154" i="1"/>
  <c r="G144" i="1"/>
  <c r="L145" i="1"/>
  <c r="I59" i="1"/>
  <c r="I60" i="1"/>
  <c r="K142" i="1"/>
  <c r="I116" i="1"/>
  <c r="J114" i="1"/>
  <c r="D129" i="1"/>
  <c r="D136" i="1" s="1"/>
  <c r="D118" i="1"/>
  <c r="G62" i="1"/>
  <c r="G65" i="1"/>
  <c r="J51" i="1"/>
  <c r="J52" i="1" s="1"/>
  <c r="K50" i="1"/>
  <c r="F71" i="1"/>
  <c r="F73" i="1" s="1"/>
  <c r="F74" i="1" s="1"/>
  <c r="F77" i="1"/>
  <c r="F80" i="1" s="1"/>
  <c r="F82" i="1" s="1"/>
  <c r="F108" i="1" s="1"/>
  <c r="F126" i="1" s="1"/>
  <c r="F185" i="1"/>
  <c r="F187" i="1" s="1"/>
  <c r="F107" i="1" l="1"/>
  <c r="F125" i="1" s="1"/>
  <c r="F94" i="1"/>
  <c r="H65" i="1"/>
  <c r="H185" i="1" s="1"/>
  <c r="H187" i="1" s="1"/>
  <c r="G164" i="1"/>
  <c r="G146" i="1"/>
  <c r="G155" i="1" s="1"/>
  <c r="G156" i="1" s="1"/>
  <c r="G159" i="1" s="1"/>
  <c r="G150" i="1"/>
  <c r="G151" i="1" s="1"/>
  <c r="G160" i="1" s="1"/>
  <c r="G167" i="1" s="1"/>
  <c r="J60" i="1"/>
  <c r="J59" i="1"/>
  <c r="I61" i="1"/>
  <c r="G163" i="1"/>
  <c r="G71" i="1"/>
  <c r="G73" i="1" s="1"/>
  <c r="G74" i="1" s="1"/>
  <c r="G77" i="1"/>
  <c r="G80" i="1" s="1"/>
  <c r="G82" i="1" s="1"/>
  <c r="G108" i="1" s="1"/>
  <c r="G126" i="1" s="1"/>
  <c r="G185" i="1"/>
  <c r="G187" i="1" s="1"/>
  <c r="K114" i="1"/>
  <c r="J116" i="1"/>
  <c r="L142" i="1"/>
  <c r="E118" i="1"/>
  <c r="E129" i="1"/>
  <c r="E136" i="1" s="1"/>
  <c r="K51" i="1"/>
  <c r="K52" i="1" s="1"/>
  <c r="L50" i="1"/>
  <c r="F111" i="1"/>
  <c r="M145" i="1"/>
  <c r="H132" i="1"/>
  <c r="H134" i="1" s="1"/>
  <c r="H99" i="1"/>
  <c r="G107" i="1" l="1"/>
  <c r="G111" i="1" s="1"/>
  <c r="G94" i="1"/>
  <c r="H77" i="1"/>
  <c r="H80" i="1" s="1"/>
  <c r="H82" i="1" s="1"/>
  <c r="H108" i="1" s="1"/>
  <c r="H126" i="1" s="1"/>
  <c r="G166" i="1"/>
  <c r="G168" i="1" s="1"/>
  <c r="H71" i="1"/>
  <c r="H73" i="1" s="1"/>
  <c r="H74" i="1" s="1"/>
  <c r="J61" i="1"/>
  <c r="J62" i="1" s="1"/>
  <c r="K60" i="1"/>
  <c r="K59" i="1"/>
  <c r="M142" i="1"/>
  <c r="L51" i="1"/>
  <c r="L52" i="1" s="1"/>
  <c r="M50" i="1"/>
  <c r="L114" i="1"/>
  <c r="K116" i="1"/>
  <c r="I62" i="1"/>
  <c r="I65" i="1"/>
  <c r="H149" i="1"/>
  <c r="I98" i="1"/>
  <c r="H154" i="1"/>
  <c r="H100" i="1"/>
  <c r="H110" i="1" s="1"/>
  <c r="H128" i="1" s="1"/>
  <c r="H144" i="1"/>
  <c r="F118" i="1"/>
  <c r="F129" i="1"/>
  <c r="F136" i="1" s="1"/>
  <c r="G125" i="1" l="1"/>
  <c r="H107" i="1"/>
  <c r="H125" i="1" s="1"/>
  <c r="H94" i="1"/>
  <c r="H111" i="1"/>
  <c r="H118" i="1" s="1"/>
  <c r="K61" i="1"/>
  <c r="J65" i="1"/>
  <c r="J71" i="1" s="1"/>
  <c r="J73" i="1" s="1"/>
  <c r="J74" i="1" s="1"/>
  <c r="H164" i="1"/>
  <c r="H146" i="1"/>
  <c r="H155" i="1" s="1"/>
  <c r="H156" i="1" s="1"/>
  <c r="H159" i="1" s="1"/>
  <c r="H150" i="1"/>
  <c r="H151" i="1" s="1"/>
  <c r="H160" i="1" s="1"/>
  <c r="H167" i="1" s="1"/>
  <c r="L116" i="1"/>
  <c r="M114" i="1"/>
  <c r="M116" i="1" s="1"/>
  <c r="I132" i="1"/>
  <c r="I134" i="1" s="1"/>
  <c r="I99" i="1"/>
  <c r="L59" i="1"/>
  <c r="L60" i="1"/>
  <c r="I71" i="1"/>
  <c r="I73" i="1" s="1"/>
  <c r="I74" i="1" s="1"/>
  <c r="I77" i="1"/>
  <c r="I80" i="1" s="1"/>
  <c r="I82" i="1" s="1"/>
  <c r="I108" i="1" s="1"/>
  <c r="I126" i="1" s="1"/>
  <c r="I185" i="1"/>
  <c r="I187" i="1" s="1"/>
  <c r="M51" i="1"/>
  <c r="M52" i="1" s="1"/>
  <c r="H163" i="1"/>
  <c r="G129" i="1"/>
  <c r="G136" i="1" s="1"/>
  <c r="G118" i="1"/>
  <c r="I107" i="1" l="1"/>
  <c r="I125" i="1" s="1"/>
  <c r="I94" i="1"/>
  <c r="J107" i="1"/>
  <c r="J94" i="1"/>
  <c r="H166" i="1"/>
  <c r="H168" i="1" s="1"/>
  <c r="H129" i="1"/>
  <c r="H136" i="1" s="1"/>
  <c r="L61" i="1"/>
  <c r="L62" i="1" s="1"/>
  <c r="K62" i="1"/>
  <c r="K65" i="1"/>
  <c r="J185" i="1"/>
  <c r="J187" i="1" s="1"/>
  <c r="J77" i="1"/>
  <c r="J80" i="1" s="1"/>
  <c r="J82" i="1" s="1"/>
  <c r="J108" i="1" s="1"/>
  <c r="J126" i="1" s="1"/>
  <c r="M60" i="1"/>
  <c r="M59" i="1"/>
  <c r="I149" i="1"/>
  <c r="J98" i="1"/>
  <c r="I154" i="1"/>
  <c r="I100" i="1"/>
  <c r="I110" i="1" s="1"/>
  <c r="I128" i="1" s="1"/>
  <c r="I144" i="1"/>
  <c r="J125" i="1"/>
  <c r="L65" i="1" l="1"/>
  <c r="L71" i="1" s="1"/>
  <c r="L73" i="1" s="1"/>
  <c r="L74" i="1" s="1"/>
  <c r="K77" i="1"/>
  <c r="K80" i="1" s="1"/>
  <c r="K82" i="1" s="1"/>
  <c r="K108" i="1" s="1"/>
  <c r="K126" i="1" s="1"/>
  <c r="K71" i="1"/>
  <c r="K73" i="1" s="1"/>
  <c r="K74" i="1" s="1"/>
  <c r="K185" i="1"/>
  <c r="K187" i="1" s="1"/>
  <c r="M61" i="1"/>
  <c r="M62" i="1" s="1"/>
  <c r="I163" i="1"/>
  <c r="I111" i="1"/>
  <c r="J132" i="1"/>
  <c r="J134" i="1" s="1"/>
  <c r="J99" i="1"/>
  <c r="I164" i="1"/>
  <c r="I150" i="1"/>
  <c r="I151" i="1" s="1"/>
  <c r="I160" i="1" s="1"/>
  <c r="I167" i="1" s="1"/>
  <c r="I146" i="1"/>
  <c r="I155" i="1" s="1"/>
  <c r="I156" i="1" s="1"/>
  <c r="I159" i="1" s="1"/>
  <c r="K107" i="1" l="1"/>
  <c r="K125" i="1" s="1"/>
  <c r="K94" i="1"/>
  <c r="L107" i="1"/>
  <c r="L94" i="1"/>
  <c r="L185" i="1"/>
  <c r="L187" i="1" s="1"/>
  <c r="L77" i="1"/>
  <c r="L80" i="1" s="1"/>
  <c r="L82" i="1" s="1"/>
  <c r="L108" i="1" s="1"/>
  <c r="L126" i="1" s="1"/>
  <c r="M65" i="1"/>
  <c r="M185" i="1" s="1"/>
  <c r="M187" i="1" s="1"/>
  <c r="J149" i="1"/>
  <c r="K98" i="1"/>
  <c r="J100" i="1"/>
  <c r="J110" i="1" s="1"/>
  <c r="J154" i="1"/>
  <c r="J144" i="1"/>
  <c r="I118" i="1"/>
  <c r="I129" i="1"/>
  <c r="I136" i="1" s="1"/>
  <c r="I166" i="1"/>
  <c r="I168" i="1" s="1"/>
  <c r="L125" i="1"/>
  <c r="M71" i="1" l="1"/>
  <c r="M73" i="1" s="1"/>
  <c r="M74" i="1" s="1"/>
  <c r="M77" i="1"/>
  <c r="M80" i="1" s="1"/>
  <c r="M82" i="1" s="1"/>
  <c r="M108" i="1" s="1"/>
  <c r="M126" i="1" s="1"/>
  <c r="J163" i="1"/>
  <c r="J128" i="1"/>
  <c r="J111" i="1"/>
  <c r="K132" i="1"/>
  <c r="K134" i="1" s="1"/>
  <c r="K99" i="1"/>
  <c r="J164" i="1"/>
  <c r="J150" i="1"/>
  <c r="J151" i="1" s="1"/>
  <c r="J160" i="1" s="1"/>
  <c r="J167" i="1" s="1"/>
  <c r="J146" i="1"/>
  <c r="J155" i="1" s="1"/>
  <c r="J156" i="1" s="1"/>
  <c r="J159" i="1" s="1"/>
  <c r="M107" i="1" l="1"/>
  <c r="M125" i="1" s="1"/>
  <c r="M94" i="1"/>
  <c r="J118" i="1"/>
  <c r="J129" i="1"/>
  <c r="J136" i="1" s="1"/>
  <c r="K149" i="1"/>
  <c r="L98" i="1"/>
  <c r="K100" i="1"/>
  <c r="K110" i="1" s="1"/>
  <c r="K154" i="1"/>
  <c r="K144" i="1"/>
  <c r="J166" i="1"/>
  <c r="J168" i="1" s="1"/>
  <c r="L132" i="1" l="1"/>
  <c r="L134" i="1" s="1"/>
  <c r="L99" i="1"/>
  <c r="K164" i="1"/>
  <c r="K146" i="1"/>
  <c r="K155" i="1" s="1"/>
  <c r="K156" i="1" s="1"/>
  <c r="K159" i="1" s="1"/>
  <c r="K150" i="1"/>
  <c r="K151" i="1" s="1"/>
  <c r="K160" i="1" s="1"/>
  <c r="K167" i="1" s="1"/>
  <c r="K163" i="1"/>
  <c r="K128" i="1"/>
  <c r="K111" i="1"/>
  <c r="K166" i="1" l="1"/>
  <c r="K168" i="1" s="1"/>
  <c r="K118" i="1"/>
  <c r="K129" i="1"/>
  <c r="K136" i="1" s="1"/>
  <c r="L149" i="1"/>
  <c r="M98" i="1"/>
  <c r="L154" i="1"/>
  <c r="L100" i="1"/>
  <c r="L110" i="1" s="1"/>
  <c r="L144" i="1"/>
  <c r="M132" i="1" l="1"/>
  <c r="M134" i="1" s="1"/>
  <c r="M99" i="1"/>
  <c r="L164" i="1"/>
  <c r="L146" i="1"/>
  <c r="L155" i="1" s="1"/>
  <c r="L156" i="1" s="1"/>
  <c r="L159" i="1" s="1"/>
  <c r="L150" i="1"/>
  <c r="L151" i="1" s="1"/>
  <c r="L160" i="1" s="1"/>
  <c r="L167" i="1" s="1"/>
  <c r="L128" i="1"/>
  <c r="L111" i="1"/>
  <c r="L163" i="1"/>
  <c r="L118" i="1" l="1"/>
  <c r="L129" i="1"/>
  <c r="L136" i="1" s="1"/>
  <c r="L166" i="1"/>
  <c r="L168" i="1" s="1"/>
  <c r="M149" i="1"/>
  <c r="M154" i="1"/>
  <c r="M100" i="1"/>
  <c r="M110" i="1" s="1"/>
  <c r="M144" i="1"/>
  <c r="M164" i="1" l="1"/>
  <c r="M146" i="1"/>
  <c r="M155" i="1" s="1"/>
  <c r="M156" i="1" s="1"/>
  <c r="M159" i="1" s="1"/>
  <c r="M150" i="1"/>
  <c r="M151" i="1" s="1"/>
  <c r="M160" i="1" s="1"/>
  <c r="M167" i="1" s="1"/>
  <c r="M128" i="1"/>
  <c r="M111" i="1"/>
  <c r="M163" i="1"/>
  <c r="M166" i="1" l="1"/>
  <c r="M168" i="1" s="1"/>
  <c r="M118" i="1"/>
  <c r="M129" i="1"/>
  <c r="M136" i="1" s="1"/>
</calcChain>
</file>

<file path=xl/sharedStrings.xml><?xml version="1.0" encoding="utf-8"?>
<sst xmlns="http://schemas.openxmlformats.org/spreadsheetml/2006/main" count="279" uniqueCount="164">
  <si>
    <t>Purchase Price:</t>
  </si>
  <si>
    <t>Down Payment:</t>
  </si>
  <si>
    <t>Interest Rate on Loan:</t>
  </si>
  <si>
    <t>%</t>
  </si>
  <si>
    <t>Term of Loan:</t>
  </si>
  <si>
    <t>yrs.</t>
  </si>
  <si>
    <t>Improvement Ratio:</t>
  </si>
  <si>
    <t>No. Yrs. of Depreciation:</t>
  </si>
  <si>
    <t xml:space="preserve">    Insurance:</t>
  </si>
  <si>
    <t xml:space="preserve">    Electricity:</t>
  </si>
  <si>
    <t xml:space="preserve">    Gas:</t>
  </si>
  <si>
    <t xml:space="preserve">    Water:</t>
  </si>
  <si>
    <t xml:space="preserve">    Advertising:</t>
  </si>
  <si>
    <t xml:space="preserve">    Telephone:</t>
  </si>
  <si>
    <t xml:space="preserve">    Other:</t>
  </si>
  <si>
    <t>Annual Appreciation Rate:</t>
  </si>
  <si>
    <t>Investor's Tax Bracket:</t>
  </si>
  <si>
    <t>Capital Gain Tax Rate:</t>
  </si>
  <si>
    <t>ACQUISITION DATA</t>
  </si>
  <si>
    <t>Price</t>
  </si>
  <si>
    <t>Interest %</t>
  </si>
  <si>
    <t>Land</t>
  </si>
  <si>
    <t>Dn. Pymt.</t>
  </si>
  <si>
    <t>No. Yrs.</t>
  </si>
  <si>
    <t>Improvement</t>
  </si>
  <si>
    <t>Loan Amt.</t>
  </si>
  <si>
    <t>Mo. P &amp; I</t>
  </si>
  <si>
    <t>Buy Costs</t>
  </si>
  <si>
    <t>Yr. P &amp; I</t>
  </si>
  <si>
    <t>Yr. Depr.</t>
  </si>
  <si>
    <t>Cap Impr.</t>
  </si>
  <si>
    <t>ANNUAL OPERATING INCOME</t>
  </si>
  <si>
    <t>EFFECTIVE GROSS INCOME</t>
  </si>
  <si>
    <t>ANNUAL OPERATING EXPENSES</t>
  </si>
  <si>
    <t>Insurance</t>
  </si>
  <si>
    <t>Management</t>
  </si>
  <si>
    <t>Repairs/Maintenance</t>
  </si>
  <si>
    <t>TOTAL OPERATING EXPENSES</t>
  </si>
  <si>
    <t>NET OPERATING INCOME</t>
  </si>
  <si>
    <t>CASH FLOW (BEFORE TAXES)</t>
  </si>
  <si>
    <t>Net Operating Income</t>
  </si>
  <si>
    <t xml:space="preserve"> -Yrly. P &amp; I</t>
  </si>
  <si>
    <t>TAX BENEFIT</t>
  </si>
  <si>
    <t xml:space="preserve"> -Annual Interest</t>
  </si>
  <si>
    <t xml:space="preserve"> -Annual Depreciation</t>
  </si>
  <si>
    <t>Taxable Income</t>
  </si>
  <si>
    <t>x Investor's Tax Bracket</t>
  </si>
  <si>
    <t xml:space="preserve">    (Internal mathematical</t>
  </si>
  <si>
    <t xml:space="preserve">     calculations - Ignore</t>
  </si>
  <si>
    <t xml:space="preserve">     these three rows)</t>
  </si>
  <si>
    <t>End of Year Value</t>
  </si>
  <si>
    <t>Cash Flow (Before Taxes)</t>
  </si>
  <si>
    <t>Tax Benefit</t>
  </si>
  <si>
    <t>Debt Reduction</t>
  </si>
  <si>
    <t>Appreciation</t>
  </si>
  <si>
    <t xml:space="preserve">$ RETURN ON INITIAL EQUITY </t>
  </si>
  <si>
    <t>INITIAL EQUITY:</t>
  </si>
  <si>
    <t>Down Payment</t>
  </si>
  <si>
    <t>% RETURN ON INITIAL EQUITY</t>
  </si>
  <si>
    <t>$ RETURN ON TOTAL EQUITY</t>
  </si>
  <si>
    <t>TOTAL EQUITY:</t>
  </si>
  <si>
    <t>Begining of Year Balance</t>
  </si>
  <si>
    <t>TOTAL EQUITY</t>
  </si>
  <si>
    <t>% RETURN ON TOTAL EQUITY</t>
  </si>
  <si>
    <t>ADJUSTED COST BASIS</t>
  </si>
  <si>
    <t>Original Basis</t>
  </si>
  <si>
    <t>+ Capital Improvements`</t>
  </si>
  <si>
    <t>+ Sales Costs</t>
  </si>
  <si>
    <t>- Accum. Depreciation</t>
  </si>
  <si>
    <t>= ADJUSTED COST BASIS</t>
  </si>
  <si>
    <t>Sales Price</t>
  </si>
  <si>
    <t>- Adjusted Cost Basis</t>
  </si>
  <si>
    <t>CAPITAL GAIN TAX</t>
  </si>
  <si>
    <t>= Tax on Capital Gain</t>
  </si>
  <si>
    <t>- Sales Costs</t>
  </si>
  <si>
    <t>- Ending Loan Balance</t>
  </si>
  <si>
    <t>= Proceeds Before Taxes</t>
  </si>
  <si>
    <t>- Capital Gain Tax</t>
  </si>
  <si>
    <t>= EST NET SALE PROCEEDS A/T</t>
  </si>
  <si>
    <t>÷ Debt Service (Yr. P &amp; I)</t>
  </si>
  <si>
    <t>Anyone using or relying on this report is advised to seek competent legal, financial, and/or tax advice.</t>
  </si>
  <si>
    <t>This report is based on certain assumptions.The projections are estimates only</t>
  </si>
  <si>
    <t xml:space="preserve">   Property taxes :</t>
  </si>
  <si>
    <t>Scheduled Annual Gross Income:</t>
  </si>
  <si>
    <t>of total</t>
  </si>
  <si>
    <t>RESULTS</t>
  </si>
  <si>
    <t>MORTGAGE PRINCIPAL REDUCTION</t>
  </si>
  <si>
    <t>TOTAL PRINCIPAL REDUCTION</t>
  </si>
  <si>
    <t>FINANCIAL ANALYSIS</t>
  </si>
  <si>
    <t>ESTIMATED SALE PROCEEDS (AFTER EXPENSES &amp; TAXES)</t>
  </si>
  <si>
    <t xml:space="preserve"> DEBT SERVICE COVERAGE RATIO (DSC)</t>
  </si>
  <si>
    <t>DSC</t>
  </si>
  <si>
    <t>RETURN ON TOTAL EQUITY  (Assume Total Equity = Start of Year Value - Start of Year Loan Balance)</t>
  </si>
  <si>
    <t>Start of Year Value</t>
  </si>
  <si>
    <t xml:space="preserve">    Trash:</t>
  </si>
  <si>
    <t>% of income</t>
  </si>
  <si>
    <t>Yr.1</t>
  </si>
  <si>
    <t>Yr. 2</t>
  </si>
  <si>
    <t>Yr. 3</t>
  </si>
  <si>
    <t>Yr. 4</t>
  </si>
  <si>
    <t>Yr. 5</t>
  </si>
  <si>
    <t>Yr. 6</t>
  </si>
  <si>
    <t>Yr. 7</t>
  </si>
  <si>
    <t>Yr. 8</t>
  </si>
  <si>
    <t>Yr. 9</t>
  </si>
  <si>
    <t>Yr. 10</t>
  </si>
  <si>
    <t>(Increase in expenses)</t>
  </si>
  <si>
    <t>Increase in income</t>
  </si>
  <si>
    <t>Expected Gross Income</t>
  </si>
  <si>
    <t>less Vacancy/Collection losses</t>
  </si>
  <si>
    <t>Vacancy/Collection losses:</t>
  </si>
  <si>
    <t>Annual Increase of Income:</t>
  </si>
  <si>
    <t>Annual Increase of Expenses:</t>
  </si>
  <si>
    <t>Expected Capital Improvements:</t>
  </si>
  <si>
    <t>Approx. Buying Costs:</t>
  </si>
  <si>
    <t>Approx. Sales Costs:</t>
  </si>
  <si>
    <t>LOAN DATA</t>
  </si>
  <si>
    <t xml:space="preserve">DEPRECIATION </t>
  </si>
  <si>
    <t>(EGI)</t>
  </si>
  <si>
    <t>Op. Expenses as %age of income</t>
  </si>
  <si>
    <t>(NOI) excluding financing costs</t>
  </si>
  <si>
    <t>Yr. 1</t>
  </si>
  <si>
    <t>EST. NET SALE PROCEEDS (after tax)</t>
  </si>
  <si>
    <t xml:space="preserve">PROPERTY APPRECIATION </t>
  </si>
  <si>
    <t xml:space="preserve"> -End of Yr. Balance</t>
  </si>
  <si>
    <t>Start of Yr. Balance</t>
  </si>
  <si>
    <t>(Increase)</t>
  </si>
  <si>
    <t>TOTAL ANNUAL APPRECIATION</t>
  </si>
  <si>
    <t>RETURN ON INITIAL EQUITY  (Assume Initial Equity = Down Payment + Capital Improvement)</t>
  </si>
  <si>
    <t>Capital Improvement</t>
  </si>
  <si>
    <t>TOTAL INITIAL EQUITY</t>
  </si>
  <si>
    <t>Beginning of Year Value inc. Cap. Imp.</t>
  </si>
  <si>
    <t>CGT Rate on Recaptured Depreciation</t>
  </si>
  <si>
    <t>Return on equity includes appreciation, principal reduction and tax benefit.</t>
  </si>
  <si>
    <t>CAPITAL GAIN for tax purposes</t>
  </si>
  <si>
    <t>True CAPITAL GAIN</t>
  </si>
  <si>
    <t>Non adjusted cost</t>
  </si>
  <si>
    <t>True Gain or loss</t>
  </si>
  <si>
    <t>You must hold the property for a year and a day to qualify for long term capital gains tax treatment.</t>
  </si>
  <si>
    <t>Capital Gain for tax purposes</t>
  </si>
  <si>
    <t>CAPITAL GAIN (tax purposes)</t>
  </si>
  <si>
    <t>(Page 2 of 7)</t>
  </si>
  <si>
    <t>(Page 3 of 7)</t>
  </si>
  <si>
    <t>(Page 5 of 7)</t>
  </si>
  <si>
    <t>(Page 7 of 7)</t>
  </si>
  <si>
    <t>Investment Analysis</t>
  </si>
  <si>
    <t>27.5 yrs. Straightline for residential.</t>
  </si>
  <si>
    <t xml:space="preserve">    Additional:  Property Management:</t>
  </si>
  <si>
    <t xml:space="preserve">    Additional:  Repairs/Maintenance:</t>
  </si>
  <si>
    <t xml:space="preserve">    Total Estimated Expenses </t>
  </si>
  <si>
    <t>Expenses</t>
  </si>
  <si>
    <t xml:space="preserve">GRM: </t>
  </si>
  <si>
    <t>Cash on Cash Return</t>
  </si>
  <si>
    <t>CAP Rate:</t>
  </si>
  <si>
    <t>Taxes</t>
  </si>
  <si>
    <t>Utilities</t>
  </si>
  <si>
    <t>39 years for commercial.</t>
  </si>
  <si>
    <t>%age of building value to total property value</t>
  </si>
  <si>
    <t>See Expenses Tab</t>
  </si>
  <si>
    <t>% Annual</t>
  </si>
  <si>
    <t>Pre Tax Return</t>
  </si>
  <si>
    <t>10 Year PRETAX Graph</t>
  </si>
  <si>
    <t>Maintenance</t>
  </si>
  <si>
    <t>Sample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</si>
</sst>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4" x14ac:knownFonts="1">
    <font>
      <sz val="10"/>
      <name val="Courie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ourier"/>
      <family val="3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sz val="26"/>
      <color theme="0"/>
      <name val="Arial"/>
      <family val="2"/>
    </font>
    <font>
      <b/>
      <sz val="26"/>
      <color theme="0"/>
      <name val="Arial"/>
      <family val="2"/>
    </font>
    <font>
      <sz val="26"/>
      <name val="Arial"/>
      <family val="2"/>
    </font>
    <font>
      <sz val="15"/>
      <name val="Courier"/>
      <family val="3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F3D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1" fillId="0" borderId="0" xfId="0" applyFont="1" applyAlignment="1" applyProtection="1">
      <protection hidden="1"/>
    </xf>
    <xf numFmtId="0" fontId="1" fillId="2" borderId="1" xfId="0" applyFont="1" applyFill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3" fontId="1" fillId="0" borderId="1" xfId="0" applyNumberFormat="1" applyFont="1" applyBorder="1" applyProtection="1">
      <protection hidden="1"/>
    </xf>
    <xf numFmtId="0" fontId="1" fillId="0" borderId="1" xfId="0" applyFont="1" applyBorder="1" applyAlignment="1" applyProtection="1">
      <alignment shrinkToFit="1"/>
      <protection hidden="1"/>
    </xf>
    <xf numFmtId="10" fontId="1" fillId="0" borderId="1" xfId="0" applyNumberFormat="1" applyFont="1" applyBorder="1" applyAlignment="1" applyProtection="1">
      <alignment shrinkToFit="1"/>
      <protection hidden="1"/>
    </xf>
    <xf numFmtId="3" fontId="1" fillId="0" borderId="1" xfId="0" applyNumberFormat="1" applyFont="1" applyBorder="1" applyAlignment="1" applyProtection="1">
      <alignment shrinkToFit="1"/>
      <protection hidden="1"/>
    </xf>
    <xf numFmtId="9" fontId="1" fillId="0" borderId="1" xfId="0" applyNumberFormat="1" applyFont="1" applyBorder="1" applyProtection="1"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shrinkToFit="1"/>
      <protection hidden="1"/>
    </xf>
    <xf numFmtId="0" fontId="1" fillId="5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3" fontId="1" fillId="3" borderId="4" xfId="0" applyNumberFormat="1" applyFont="1" applyFill="1" applyBorder="1" applyAlignment="1" applyProtection="1">
      <alignment shrinkToFit="1"/>
      <protection locked="0"/>
    </xf>
    <xf numFmtId="0" fontId="4" fillId="4" borderId="3" xfId="0" applyFont="1" applyFill="1" applyBorder="1" applyAlignment="1" applyProtection="1">
      <alignment horizontal="left"/>
      <protection hidden="1"/>
    </xf>
    <xf numFmtId="0" fontId="4" fillId="4" borderId="0" xfId="0" applyFont="1" applyFill="1" applyBorder="1" applyProtection="1">
      <protection hidden="1"/>
    </xf>
    <xf numFmtId="0" fontId="4" fillId="4" borderId="2" xfId="0" applyFont="1" applyFill="1" applyBorder="1" applyProtection="1">
      <protection hidden="1"/>
    </xf>
    <xf numFmtId="0" fontId="1" fillId="7" borderId="0" xfId="0" applyFont="1" applyFill="1" applyAlignment="1" applyProtection="1">
      <alignment horizontal="left"/>
      <protection hidden="1"/>
    </xf>
    <xf numFmtId="0" fontId="1" fillId="7" borderId="0" xfId="0" applyFont="1" applyFill="1" applyProtection="1">
      <protection hidden="1"/>
    </xf>
    <xf numFmtId="0" fontId="1" fillId="7" borderId="0" xfId="0" applyFont="1" applyFill="1" applyAlignment="1" applyProtection="1">
      <alignment horizontal="right"/>
      <protection hidden="1"/>
    </xf>
    <xf numFmtId="0" fontId="1" fillId="7" borderId="0" xfId="0" applyFont="1" applyFill="1" applyAlignment="1" applyProtection="1">
      <alignment horizontal="right" shrinkToFit="1"/>
      <protection hidden="1"/>
    </xf>
    <xf numFmtId="0" fontId="1" fillId="7" borderId="0" xfId="0" applyFont="1" applyFill="1" applyAlignment="1" applyProtection="1">
      <alignment shrinkToFit="1"/>
      <protection hidden="1"/>
    </xf>
    <xf numFmtId="10" fontId="1" fillId="7" borderId="0" xfId="0" applyNumberFormat="1" applyFont="1" applyFill="1" applyProtection="1">
      <protection hidden="1"/>
    </xf>
    <xf numFmtId="10" fontId="1" fillId="7" borderId="0" xfId="0" applyNumberFormat="1" applyFont="1" applyFill="1" applyAlignment="1" applyProtection="1">
      <alignment shrinkToFit="1"/>
      <protection hidden="1"/>
    </xf>
    <xf numFmtId="3" fontId="1" fillId="7" borderId="0" xfId="0" applyNumberFormat="1" applyFont="1" applyFill="1" applyAlignment="1" applyProtection="1">
      <alignment shrinkToFit="1"/>
      <protection hidden="1"/>
    </xf>
    <xf numFmtId="0" fontId="1" fillId="6" borderId="5" xfId="0" applyFont="1" applyFill="1" applyBorder="1" applyAlignment="1" applyProtection="1">
      <alignment horizontal="left"/>
      <protection hidden="1"/>
    </xf>
    <xf numFmtId="0" fontId="1" fillId="6" borderId="6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1" fillId="6" borderId="5" xfId="0" applyFont="1" applyFill="1" applyBorder="1" applyProtection="1">
      <protection hidden="1"/>
    </xf>
    <xf numFmtId="0" fontId="8" fillId="6" borderId="0" xfId="0" applyFont="1" applyFill="1" applyProtection="1">
      <protection hidden="1"/>
    </xf>
    <xf numFmtId="10" fontId="8" fillId="6" borderId="0" xfId="0" applyNumberFormat="1" applyFont="1" applyFill="1" applyProtection="1">
      <protection hidden="1"/>
    </xf>
    <xf numFmtId="0" fontId="1" fillId="8" borderId="1" xfId="0" applyFont="1" applyFill="1" applyBorder="1" applyProtection="1">
      <protection hidden="1"/>
    </xf>
    <xf numFmtId="164" fontId="1" fillId="6" borderId="6" xfId="0" applyNumberFormat="1" applyFont="1" applyFill="1" applyBorder="1" applyAlignment="1" applyProtection="1">
      <alignment shrinkToFit="1"/>
      <protection hidden="1"/>
    </xf>
    <xf numFmtId="164" fontId="1" fillId="6" borderId="7" xfId="0" applyNumberFormat="1" applyFont="1" applyFill="1" applyBorder="1" applyAlignment="1" applyProtection="1">
      <alignment shrinkToFit="1"/>
      <protection hidden="1"/>
    </xf>
    <xf numFmtId="0" fontId="1" fillId="9" borderId="0" xfId="0" applyFont="1" applyFill="1" applyProtection="1">
      <protection hidden="1"/>
    </xf>
    <xf numFmtId="0" fontId="7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4" fillId="9" borderId="3" xfId="0" applyFont="1" applyFill="1" applyBorder="1" applyAlignment="1" applyProtection="1">
      <alignment horizontal="left"/>
      <protection hidden="1"/>
    </xf>
    <xf numFmtId="0" fontId="4" fillId="9" borderId="0" xfId="0" applyFont="1" applyFill="1" applyBorder="1" applyProtection="1">
      <protection hidden="1"/>
    </xf>
    <xf numFmtId="0" fontId="4" fillId="9" borderId="2" xfId="0" applyFont="1" applyFill="1" applyBorder="1" applyProtection="1">
      <protection hidden="1"/>
    </xf>
    <xf numFmtId="3" fontId="1" fillId="9" borderId="4" xfId="0" applyNumberFormat="1" applyFont="1" applyFill="1" applyBorder="1" applyAlignment="1" applyProtection="1">
      <alignment shrinkToFit="1"/>
      <protection locked="0"/>
    </xf>
    <xf numFmtId="2" fontId="1" fillId="9" borderId="4" xfId="0" applyNumberFormat="1" applyFont="1" applyFill="1" applyBorder="1" applyAlignment="1" applyProtection="1">
      <alignment shrinkToFit="1"/>
      <protection locked="0"/>
    </xf>
    <xf numFmtId="0" fontId="1" fillId="9" borderId="0" xfId="0" applyFont="1" applyFill="1" applyAlignment="1" applyProtection="1">
      <alignment horizontal="left"/>
      <protection hidden="1"/>
    </xf>
    <xf numFmtId="3" fontId="1" fillId="9" borderId="0" xfId="0" applyNumberFormat="1" applyFont="1" applyFill="1" applyProtection="1">
      <protection hidden="1"/>
    </xf>
    <xf numFmtId="0" fontId="6" fillId="9" borderId="0" xfId="0" applyFont="1" applyFill="1" applyProtection="1">
      <protection hidden="1"/>
    </xf>
    <xf numFmtId="0" fontId="1" fillId="10" borderId="0" xfId="0" applyFont="1" applyFill="1" applyProtection="1">
      <protection hidden="1"/>
    </xf>
    <xf numFmtId="0" fontId="1" fillId="10" borderId="0" xfId="0" applyFont="1" applyFill="1" applyAlignment="1" applyProtection="1">
      <alignment horizontal="left"/>
      <protection locked="0"/>
    </xf>
    <xf numFmtId="0" fontId="1" fillId="10" borderId="0" xfId="0" applyFont="1" applyFill="1" applyAlignment="1" applyProtection="1">
      <alignment shrinkToFit="1"/>
      <protection locked="0"/>
    </xf>
    <xf numFmtId="0" fontId="1" fillId="10" borderId="0" xfId="0" applyFont="1" applyFill="1" applyAlignment="1" applyProtection="1">
      <alignment shrinkToFit="1"/>
      <protection hidden="1"/>
    </xf>
    <xf numFmtId="0" fontId="9" fillId="10" borderId="0" xfId="0" applyFont="1" applyFill="1" applyAlignment="1" applyProtection="1">
      <alignment horizontal="left"/>
      <protection hidden="1"/>
    </xf>
    <xf numFmtId="3" fontId="3" fillId="7" borderId="0" xfId="0" applyNumberFormat="1" applyFont="1" applyFill="1" applyAlignment="1" applyProtection="1">
      <alignment shrinkToFit="1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3" fillId="6" borderId="6" xfId="0" applyFont="1" applyFill="1" applyBorder="1" applyProtection="1">
      <protection hidden="1"/>
    </xf>
    <xf numFmtId="164" fontId="3" fillId="6" borderId="6" xfId="0" applyNumberFormat="1" applyFont="1" applyFill="1" applyBorder="1" applyAlignment="1" applyProtection="1">
      <alignment shrinkToFit="1"/>
      <protection hidden="1"/>
    </xf>
    <xf numFmtId="164" fontId="3" fillId="6" borderId="7" xfId="0" applyNumberFormat="1" applyFont="1" applyFill="1" applyBorder="1" applyAlignment="1" applyProtection="1">
      <alignment shrinkToFit="1"/>
      <protection hidden="1"/>
    </xf>
    <xf numFmtId="0" fontId="3" fillId="6" borderId="5" xfId="0" applyFont="1" applyFill="1" applyBorder="1" applyProtection="1">
      <protection hidden="1"/>
    </xf>
    <xf numFmtId="10" fontId="3" fillId="6" borderId="6" xfId="0" applyNumberFormat="1" applyFont="1" applyFill="1" applyBorder="1" applyAlignment="1" applyProtection="1">
      <alignment shrinkToFit="1"/>
      <protection hidden="1"/>
    </xf>
    <xf numFmtId="10" fontId="3" fillId="6" borderId="7" xfId="0" applyNumberFormat="1" applyFont="1" applyFill="1" applyBorder="1" applyAlignment="1" applyProtection="1">
      <alignment shrinkToFit="1"/>
      <protection hidden="1"/>
    </xf>
    <xf numFmtId="3" fontId="1" fillId="9" borderId="8" xfId="0" applyNumberFormat="1" applyFont="1" applyFill="1" applyBorder="1" applyAlignment="1" applyProtection="1">
      <alignment shrinkToFit="1"/>
      <protection locked="0"/>
    </xf>
    <xf numFmtId="0" fontId="4" fillId="9" borderId="5" xfId="0" applyFont="1" applyFill="1" applyBorder="1" applyAlignment="1" applyProtection="1">
      <alignment horizontal="left"/>
      <protection hidden="1"/>
    </xf>
    <xf numFmtId="0" fontId="4" fillId="9" borderId="6" xfId="0" applyFont="1" applyFill="1" applyBorder="1" applyProtection="1">
      <protection hidden="1"/>
    </xf>
    <xf numFmtId="0" fontId="4" fillId="9" borderId="7" xfId="0" applyFont="1" applyFill="1" applyBorder="1" applyProtection="1">
      <protection hidden="1"/>
    </xf>
    <xf numFmtId="3" fontId="1" fillId="9" borderId="9" xfId="0" applyNumberFormat="1" applyFont="1" applyFill="1" applyBorder="1" applyAlignment="1" applyProtection="1">
      <alignment shrinkToFit="1"/>
      <protection locked="0"/>
    </xf>
    <xf numFmtId="2" fontId="1" fillId="9" borderId="9" xfId="0" applyNumberFormat="1" applyFont="1" applyFill="1" applyBorder="1" applyAlignment="1" applyProtection="1">
      <alignment shrinkToFit="1"/>
      <protection locked="0"/>
    </xf>
    <xf numFmtId="0" fontId="1" fillId="9" borderId="9" xfId="0" applyFont="1" applyFill="1" applyBorder="1" applyAlignment="1" applyProtection="1">
      <alignment shrinkToFit="1"/>
      <protection locked="0"/>
    </xf>
    <xf numFmtId="2" fontId="1" fillId="3" borderId="9" xfId="0" applyNumberFormat="1" applyFont="1" applyFill="1" applyBorder="1" applyProtection="1">
      <protection locked="0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3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1" fillId="5" borderId="0" xfId="0" applyFont="1" applyFill="1" applyBorder="1" applyProtection="1">
      <protection hidden="1"/>
    </xf>
    <xf numFmtId="3" fontId="1" fillId="5" borderId="0" xfId="0" applyNumberFormat="1" applyFont="1" applyFill="1" applyBorder="1" applyProtection="1">
      <protection hidden="1"/>
    </xf>
    <xf numFmtId="0" fontId="8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shrinkToFit="1"/>
      <protection hidden="1"/>
    </xf>
    <xf numFmtId="10" fontId="1" fillId="5" borderId="0" xfId="0" applyNumberFormat="1" applyFont="1" applyFill="1" applyBorder="1" applyAlignment="1" applyProtection="1">
      <alignment shrinkToFit="1"/>
      <protection hidden="1"/>
    </xf>
    <xf numFmtId="3" fontId="1" fillId="5" borderId="0" xfId="0" applyNumberFormat="1" applyFont="1" applyFill="1" applyBorder="1" applyAlignment="1" applyProtection="1">
      <alignment shrinkToFit="1"/>
      <protection hidden="1"/>
    </xf>
    <xf numFmtId="0" fontId="0" fillId="9" borderId="0" xfId="0" applyFill="1"/>
    <xf numFmtId="0" fontId="8" fillId="7" borderId="0" xfId="0" applyFont="1" applyFill="1" applyAlignment="1" applyProtection="1">
      <alignment horizontal="left"/>
      <protection hidden="1"/>
    </xf>
    <xf numFmtId="0" fontId="8" fillId="7" borderId="0" xfId="0" applyFont="1" applyFill="1" applyProtection="1">
      <protection hidden="1"/>
    </xf>
    <xf numFmtId="0" fontId="1" fillId="11" borderId="0" xfId="0" applyFont="1" applyFill="1" applyAlignment="1" applyProtection="1">
      <alignment horizontal="left"/>
      <protection hidden="1"/>
    </xf>
    <xf numFmtId="0" fontId="1" fillId="11" borderId="0" xfId="0" applyFont="1" applyFill="1" applyProtection="1">
      <protection hidden="1"/>
    </xf>
    <xf numFmtId="0" fontId="1" fillId="11" borderId="0" xfId="0" applyFont="1" applyFill="1" applyAlignment="1" applyProtection="1">
      <alignment horizontal="right" shrinkToFit="1"/>
      <protection hidden="1"/>
    </xf>
    <xf numFmtId="0" fontId="1" fillId="11" borderId="0" xfId="0" applyFont="1" applyFill="1" applyAlignment="1" applyProtection="1">
      <alignment shrinkToFit="1"/>
      <protection hidden="1"/>
    </xf>
    <xf numFmtId="3" fontId="1" fillId="11" borderId="0" xfId="0" applyNumberFormat="1" applyFont="1" applyFill="1" applyAlignment="1" applyProtection="1">
      <alignment shrinkToFit="1"/>
      <protection hidden="1"/>
    </xf>
    <xf numFmtId="10" fontId="1" fillId="11" borderId="0" xfId="0" applyNumberFormat="1" applyFont="1" applyFill="1" applyProtection="1">
      <protection hidden="1"/>
    </xf>
    <xf numFmtId="10" fontId="1" fillId="11" borderId="0" xfId="0" applyNumberFormat="1" applyFont="1" applyFill="1" applyAlignment="1" applyProtection="1">
      <alignment shrinkToFit="1"/>
      <protection hidden="1"/>
    </xf>
    <xf numFmtId="0" fontId="1" fillId="12" borderId="0" xfId="0" applyFont="1" applyFill="1" applyAlignment="1" applyProtection="1">
      <alignment horizontal="left"/>
      <protection hidden="1"/>
    </xf>
    <xf numFmtId="0" fontId="1" fillId="12" borderId="0" xfId="0" applyFont="1" applyFill="1" applyProtection="1">
      <protection hidden="1"/>
    </xf>
    <xf numFmtId="0" fontId="1" fillId="12" borderId="0" xfId="0" applyFont="1" applyFill="1" applyAlignment="1" applyProtection="1">
      <alignment horizontal="right" shrinkToFit="1"/>
      <protection hidden="1"/>
    </xf>
    <xf numFmtId="0" fontId="1" fillId="12" borderId="0" xfId="0" applyFont="1" applyFill="1" applyAlignment="1" applyProtection="1">
      <alignment shrinkToFit="1"/>
      <protection hidden="1"/>
    </xf>
    <xf numFmtId="3" fontId="1" fillId="12" borderId="0" xfId="0" applyNumberFormat="1" applyFont="1" applyFill="1" applyAlignment="1" applyProtection="1">
      <alignment shrinkToFit="1"/>
      <protection hidden="1"/>
    </xf>
    <xf numFmtId="10" fontId="1" fillId="12" borderId="0" xfId="0" applyNumberFormat="1" applyFont="1" applyFill="1" applyProtection="1">
      <protection hidden="1"/>
    </xf>
    <xf numFmtId="10" fontId="1" fillId="12" borderId="0" xfId="0" applyNumberFormat="1" applyFont="1" applyFill="1" applyAlignment="1" applyProtection="1">
      <alignment shrinkToFit="1"/>
      <protection hidden="1"/>
    </xf>
    <xf numFmtId="1" fontId="1" fillId="12" borderId="0" xfId="0" applyNumberFormat="1" applyFont="1" applyFill="1" applyAlignment="1" applyProtection="1">
      <alignment shrinkToFit="1"/>
      <protection hidden="1"/>
    </xf>
    <xf numFmtId="2" fontId="1" fillId="12" borderId="0" xfId="0" applyNumberFormat="1" applyFont="1" applyFill="1" applyAlignment="1" applyProtection="1">
      <alignment shrinkToFit="1"/>
      <protection hidden="1"/>
    </xf>
    <xf numFmtId="0" fontId="1" fillId="13" borderId="0" xfId="0" applyFont="1" applyFill="1" applyProtection="1">
      <protection hidden="1"/>
    </xf>
    <xf numFmtId="0" fontId="1" fillId="13" borderId="0" xfId="0" applyFont="1" applyFill="1" applyAlignment="1" applyProtection="1">
      <alignment shrinkToFit="1"/>
      <protection hidden="1"/>
    </xf>
    <xf numFmtId="0" fontId="1" fillId="13" borderId="0" xfId="0" applyFont="1" applyFill="1" applyAlignment="1" applyProtection="1">
      <alignment horizontal="left"/>
      <protection hidden="1"/>
    </xf>
    <xf numFmtId="0" fontId="1" fillId="13" borderId="0" xfId="0" applyFont="1" applyFill="1" applyAlignment="1" applyProtection="1">
      <alignment horizontal="left" shrinkToFit="1"/>
      <protection hidden="1"/>
    </xf>
    <xf numFmtId="0" fontId="1" fillId="13" borderId="0" xfId="0" applyFont="1" applyFill="1" applyAlignment="1" applyProtection="1">
      <alignment horizontal="right" shrinkToFit="1"/>
      <protection hidden="1"/>
    </xf>
    <xf numFmtId="3" fontId="1" fillId="13" borderId="0" xfId="0" applyNumberFormat="1" applyFont="1" applyFill="1" applyAlignment="1" applyProtection="1">
      <alignment shrinkToFit="1"/>
      <protection hidden="1"/>
    </xf>
    <xf numFmtId="3" fontId="2" fillId="13" borderId="0" xfId="0" applyNumberFormat="1" applyFont="1" applyFill="1" applyAlignment="1" applyProtection="1">
      <alignment shrinkToFit="1"/>
      <protection hidden="1"/>
    </xf>
    <xf numFmtId="10" fontId="1" fillId="13" borderId="0" xfId="0" applyNumberFormat="1" applyFont="1" applyFill="1" applyAlignment="1" applyProtection="1">
      <alignment shrinkToFit="1"/>
      <protection hidden="1"/>
    </xf>
    <xf numFmtId="10" fontId="1" fillId="13" borderId="0" xfId="0" applyNumberFormat="1" applyFont="1" applyFill="1" applyProtection="1">
      <protection hidden="1"/>
    </xf>
    <xf numFmtId="0" fontId="1" fillId="14" borderId="0" xfId="0" applyFont="1" applyFill="1" applyProtection="1">
      <protection hidden="1"/>
    </xf>
    <xf numFmtId="0" fontId="1" fillId="14" borderId="0" xfId="0" applyFont="1" applyFill="1" applyAlignment="1" applyProtection="1">
      <alignment shrinkToFit="1"/>
      <protection hidden="1"/>
    </xf>
    <xf numFmtId="0" fontId="1" fillId="14" borderId="0" xfId="0" applyFont="1" applyFill="1" applyAlignment="1" applyProtection="1">
      <alignment horizontal="left"/>
      <protection hidden="1"/>
    </xf>
    <xf numFmtId="0" fontId="1" fillId="14" borderId="0" xfId="0" applyFont="1" applyFill="1" applyAlignment="1" applyProtection="1">
      <alignment horizontal="right" shrinkToFit="1"/>
      <protection hidden="1"/>
    </xf>
    <xf numFmtId="3" fontId="1" fillId="14" borderId="0" xfId="0" applyNumberFormat="1" applyFont="1" applyFill="1" applyAlignment="1" applyProtection="1">
      <alignment shrinkToFit="1"/>
      <protection hidden="1"/>
    </xf>
    <xf numFmtId="2" fontId="1" fillId="14" borderId="0" xfId="0" applyNumberFormat="1" applyFont="1" applyFill="1" applyAlignment="1" applyProtection="1">
      <alignment shrinkToFit="1"/>
      <protection hidden="1"/>
    </xf>
    <xf numFmtId="0" fontId="1" fillId="14" borderId="0" xfId="0" applyFont="1" applyFill="1" applyAlignment="1" applyProtection="1">
      <alignment horizontal="left" shrinkToFit="1"/>
      <protection hidden="1"/>
    </xf>
    <xf numFmtId="0" fontId="0" fillId="14" borderId="0" xfId="0" applyFill="1" applyProtection="1">
      <protection hidden="1"/>
    </xf>
    <xf numFmtId="0" fontId="0" fillId="14" borderId="0" xfId="0" applyFill="1" applyAlignment="1" applyProtection="1">
      <alignment shrinkToFit="1"/>
      <protection hidden="1"/>
    </xf>
    <xf numFmtId="0" fontId="8" fillId="12" borderId="0" xfId="0" applyFont="1" applyFill="1" applyAlignment="1" applyProtection="1">
      <alignment horizontal="left"/>
      <protection hidden="1"/>
    </xf>
    <xf numFmtId="0" fontId="8" fillId="12" borderId="0" xfId="0" applyFont="1" applyFill="1" applyProtection="1">
      <protection hidden="1"/>
    </xf>
    <xf numFmtId="0" fontId="8" fillId="11" borderId="0" xfId="0" applyFont="1" applyFill="1" applyAlignment="1" applyProtection="1">
      <alignment horizontal="left"/>
      <protection hidden="1"/>
    </xf>
    <xf numFmtId="0" fontId="8" fillId="11" borderId="0" xfId="0" applyFont="1" applyFill="1" applyProtection="1">
      <protection hidden="1"/>
    </xf>
    <xf numFmtId="0" fontId="11" fillId="10" borderId="0" xfId="0" applyFont="1" applyFill="1" applyAlignment="1" applyProtection="1">
      <alignment horizontal="left"/>
      <protection hidden="1"/>
    </xf>
    <xf numFmtId="0" fontId="12" fillId="10" borderId="0" xfId="0" applyFont="1" applyFill="1" applyAlignment="1" applyProtection="1">
      <alignment horizontal="center" shrinkToFit="1"/>
      <protection locked="0"/>
    </xf>
    <xf numFmtId="0" fontId="10" fillId="10" borderId="0" xfId="0" applyFont="1" applyFill="1" applyAlignment="1" applyProtection="1">
      <alignment horizontal="left"/>
      <protection hidden="1"/>
    </xf>
    <xf numFmtId="3" fontId="3" fillId="6" borderId="6" xfId="0" applyNumberFormat="1" applyFont="1" applyFill="1" applyBorder="1" applyAlignment="1" applyProtection="1">
      <alignment shrinkToFit="1"/>
      <protection hidden="1"/>
    </xf>
    <xf numFmtId="3" fontId="3" fillId="6" borderId="7" xfId="0" applyNumberFormat="1" applyFont="1" applyFill="1" applyBorder="1" applyAlignment="1" applyProtection="1">
      <alignment shrinkToFit="1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shrinkToFit="1"/>
      <protection hidden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3DB"/>
      <color rgb="FFD7FCD2"/>
      <color rgb="FFDDFE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Investment performance</a:t>
            </a:r>
          </a:p>
        </c:rich>
      </c:tx>
      <c:layout>
        <c:manualLayout>
          <c:xMode val="edge"/>
          <c:yMode val="edge"/>
          <c:x val="0.29042951092833225"/>
          <c:y val="3.6232012256610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71978573604093"/>
          <c:y val="0.27536329315023911"/>
          <c:w val="0.54455533299062253"/>
          <c:h val="0.43840734830498596"/>
        </c:manualLayout>
      </c:layout>
      <c:lineChart>
        <c:grouping val="standard"/>
        <c:varyColors val="0"/>
        <c:ser>
          <c:idx val="0"/>
          <c:order val="0"/>
          <c:tx>
            <c:v>NOI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'10year'!$D$65:$M$65</c:f>
              <c:numCache>
                <c:formatCode>#,##0</c:formatCode>
                <c:ptCount val="10"/>
                <c:pt idx="0">
                  <c:v>175000</c:v>
                </c:pt>
                <c:pt idx="1">
                  <c:v>186630</c:v>
                </c:pt>
                <c:pt idx="2">
                  <c:v>198870.3</c:v>
                </c:pt>
                <c:pt idx="3">
                  <c:v>211751.70300000001</c:v>
                </c:pt>
                <c:pt idx="4">
                  <c:v>225306.55503000002</c:v>
                </c:pt>
                <c:pt idx="5">
                  <c:v>239568.82233029997</c:v>
                </c:pt>
                <c:pt idx="6">
                  <c:v>254574.17239110306</c:v>
                </c:pt>
                <c:pt idx="7">
                  <c:v>270360.05904438911</c:v>
                </c:pt>
                <c:pt idx="8">
                  <c:v>286965.81181067677</c:v>
                </c:pt>
                <c:pt idx="9">
                  <c:v>304432.72971341945</c:v>
                </c:pt>
              </c:numCache>
            </c:numRef>
          </c:val>
          <c:smooth val="0"/>
        </c:ser>
        <c:ser>
          <c:idx val="1"/>
          <c:order val="1"/>
          <c:tx>
            <c:v>Interest paid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'10year'!$D$78:$M$78</c:f>
              <c:numCache>
                <c:formatCode>#,##0</c:formatCode>
                <c:ptCount val="10"/>
                <c:pt idx="0">
                  <c:v>70847.66004854624</c:v>
                </c:pt>
                <c:pt idx="1">
                  <c:v>69609.712530189863</c:v>
                </c:pt>
                <c:pt idx="2">
                  <c:v>68318.758566081728</c:v>
                </c:pt>
                <c:pt idx="3">
                  <c:v>66972.528525844653</c:v>
                </c:pt>
                <c:pt idx="4">
                  <c:v>65568.655598054378</c:v>
                </c:pt>
                <c:pt idx="5">
                  <c:v>64104.671629135701</c:v>
                </c:pt>
                <c:pt idx="6">
                  <c:v>62578.002784097305</c:v>
                </c:pt>
                <c:pt idx="7">
                  <c:v>60985.965021461452</c:v>
                </c:pt>
                <c:pt idx="8">
                  <c:v>59325.759374445508</c:v>
                </c:pt>
                <c:pt idx="9">
                  <c:v>57594.46703008443</c:v>
                </c:pt>
              </c:numCache>
            </c:numRef>
          </c:val>
          <c:smooth val="0"/>
        </c:ser>
        <c:ser>
          <c:idx val="2"/>
          <c:order val="2"/>
          <c:tx>
            <c:v>Return on Equity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'10year'!$D$129:$M$129</c:f>
              <c:numCache>
                <c:formatCode>#,##0</c:formatCode>
                <c:ptCount val="10"/>
                <c:pt idx="0">
                  <c:v>247679.36523874491</c:v>
                </c:pt>
                <c:pt idx="1">
                  <c:v>265186.92850159435</c:v>
                </c:pt>
                <c:pt idx="2">
                  <c:v>283583.80627647007</c:v>
                </c:pt>
                <c:pt idx="3">
                  <c:v>302914.399404636</c:v>
                </c:pt>
                <c:pt idx="4">
                  <c:v>323225.31937508925</c:v>
                </c:pt>
                <c:pt idx="5">
                  <c:v>344565.49838854279</c:v>
                </c:pt>
                <c:pt idx="6">
                  <c:v>366986.30490388116</c:v>
                </c:pt>
                <c:pt idx="7">
                  <c:v>390541.66494033934</c:v>
                </c:pt>
                <c:pt idx="8">
                  <c:v>415288.18942223018</c:v>
                </c:pt>
                <c:pt idx="9">
                  <c:v>441285.30786741007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4144"/>
        <c:axId val="98536448"/>
      </c:lineChart>
      <c:catAx>
        <c:axId val="985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42739342801385238"/>
              <c:y val="0.84420588557902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53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</a:t>
                </a:r>
              </a:p>
            </c:rich>
          </c:tx>
          <c:layout>
            <c:manualLayout>
              <c:xMode val="edge"/>
              <c:yMode val="edge"/>
              <c:x val="3.9604024217499832E-2"/>
              <c:y val="0.384059329920070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34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02428034801803"/>
          <c:y val="0.36594332379176497"/>
          <c:w val="0.25742615741374891"/>
          <c:h val="0.26449368947325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'10year'!$A$73</c:f>
              <c:strCache>
                <c:ptCount val="1"/>
                <c:pt idx="0">
                  <c:v>CASH FLOW (BEFORE TAXES)</c:v>
                </c:pt>
              </c:strCache>
            </c:strRef>
          </c:tx>
          <c:invertIfNegative val="0"/>
          <c:cat>
            <c:strRef>
              <c:f>'10year'!$D$69:$M$69</c:f>
              <c:strCache>
                <c:ptCount val="10"/>
                <c:pt idx="0">
                  <c:v>Yr. 1</c:v>
                </c:pt>
                <c:pt idx="1">
                  <c:v>Yr. 2</c:v>
                </c:pt>
                <c:pt idx="2">
                  <c:v>Yr. 3</c:v>
                </c:pt>
                <c:pt idx="3">
                  <c:v>Yr. 4</c:v>
                </c:pt>
                <c:pt idx="4">
                  <c:v>Yr. 5</c:v>
                </c:pt>
                <c:pt idx="5">
                  <c:v>Yr. 6</c:v>
                </c:pt>
                <c:pt idx="6">
                  <c:v>Yr. 7</c:v>
                </c:pt>
                <c:pt idx="7">
                  <c:v>Yr. 8</c:v>
                </c:pt>
                <c:pt idx="8">
                  <c:v>Yr. 9</c:v>
                </c:pt>
                <c:pt idx="9">
                  <c:v>Yr. 10</c:v>
                </c:pt>
              </c:strCache>
            </c:strRef>
          </c:cat>
          <c:val>
            <c:numRef>
              <c:f>'10year'!$D$73:$M$73</c:f>
              <c:numCache>
                <c:formatCode>"$"#,##0</c:formatCode>
                <c:ptCount val="10"/>
                <c:pt idx="0">
                  <c:v>75240.496562440676</c:v>
                </c:pt>
                <c:pt idx="1">
                  <c:v>86870.496562440676</c:v>
                </c:pt>
                <c:pt idx="2">
                  <c:v>99110.796562440664</c:v>
                </c:pt>
                <c:pt idx="3">
                  <c:v>111992.19956244068</c:v>
                </c:pt>
                <c:pt idx="4">
                  <c:v>125547.05159244069</c:v>
                </c:pt>
                <c:pt idx="5">
                  <c:v>139809.31889274064</c:v>
                </c:pt>
                <c:pt idx="6">
                  <c:v>154814.66895354373</c:v>
                </c:pt>
                <c:pt idx="7">
                  <c:v>170600.55560682979</c:v>
                </c:pt>
                <c:pt idx="8">
                  <c:v>187206.30837311744</c:v>
                </c:pt>
                <c:pt idx="9">
                  <c:v>204673.22627586013</c:v>
                </c:pt>
              </c:numCache>
            </c:numRef>
          </c:val>
        </c:ser>
        <c:ser>
          <c:idx val="1"/>
          <c:order val="1"/>
          <c:tx>
            <c:strRef>
              <c:f>'10year'!$A$93:$B$93</c:f>
              <c:strCache>
                <c:ptCount val="1"/>
                <c:pt idx="0">
                  <c:v>TOTAL PRINCIPAL REDUCTION</c:v>
                </c:pt>
              </c:strCache>
            </c:strRef>
          </c:tx>
          <c:invertIfNegative val="0"/>
          <c:cat>
            <c:strRef>
              <c:f>'10year'!$D$69:$M$69</c:f>
              <c:strCache>
                <c:ptCount val="10"/>
                <c:pt idx="0">
                  <c:v>Yr. 1</c:v>
                </c:pt>
                <c:pt idx="1">
                  <c:v>Yr. 2</c:v>
                </c:pt>
                <c:pt idx="2">
                  <c:v>Yr. 3</c:v>
                </c:pt>
                <c:pt idx="3">
                  <c:v>Yr. 4</c:v>
                </c:pt>
                <c:pt idx="4">
                  <c:v>Yr. 5</c:v>
                </c:pt>
                <c:pt idx="5">
                  <c:v>Yr. 6</c:v>
                </c:pt>
                <c:pt idx="6">
                  <c:v>Yr. 7</c:v>
                </c:pt>
                <c:pt idx="7">
                  <c:v>Yr. 8</c:v>
                </c:pt>
                <c:pt idx="8">
                  <c:v>Yr. 9</c:v>
                </c:pt>
                <c:pt idx="9">
                  <c:v>Yr. 10</c:v>
                </c:pt>
              </c:strCache>
            </c:strRef>
          </c:cat>
          <c:val>
            <c:numRef>
              <c:f>'10year'!$D$93:$M$93</c:f>
              <c:numCache>
                <c:formatCode>"$"#,##0</c:formatCode>
                <c:ptCount val="10"/>
                <c:pt idx="0">
                  <c:v>28911.843389013084</c:v>
                </c:pt>
                <c:pt idx="1">
                  <c:v>30149.790907369461</c:v>
                </c:pt>
                <c:pt idx="2">
                  <c:v>31440.744871477596</c:v>
                </c:pt>
                <c:pt idx="3">
                  <c:v>32786.974911714671</c:v>
                </c:pt>
                <c:pt idx="4">
                  <c:v>34190.847839504946</c:v>
                </c:pt>
                <c:pt idx="5">
                  <c:v>35654.831808423623</c:v>
                </c:pt>
                <c:pt idx="6">
                  <c:v>37181.500653462019</c:v>
                </c:pt>
                <c:pt idx="7">
                  <c:v>38773.538416097872</c:v>
                </c:pt>
                <c:pt idx="8">
                  <c:v>40433.744063113816</c:v>
                </c:pt>
                <c:pt idx="9">
                  <c:v>42165.036407474894</c:v>
                </c:pt>
              </c:numCache>
            </c:numRef>
          </c:val>
        </c:ser>
        <c:ser>
          <c:idx val="2"/>
          <c:order val="2"/>
          <c:tx>
            <c:strRef>
              <c:f>'10year'!$A$100:$B$100</c:f>
              <c:strCache>
                <c:ptCount val="1"/>
                <c:pt idx="0">
                  <c:v>TOTAL ANNUAL APPRECIATION</c:v>
                </c:pt>
              </c:strCache>
            </c:strRef>
          </c:tx>
          <c:invertIfNegative val="0"/>
          <c:cat>
            <c:strRef>
              <c:f>'10year'!$D$69:$M$69</c:f>
              <c:strCache>
                <c:ptCount val="10"/>
                <c:pt idx="0">
                  <c:v>Yr. 1</c:v>
                </c:pt>
                <c:pt idx="1">
                  <c:v>Yr. 2</c:v>
                </c:pt>
                <c:pt idx="2">
                  <c:v>Yr. 3</c:v>
                </c:pt>
                <c:pt idx="3">
                  <c:v>Yr. 4</c:v>
                </c:pt>
                <c:pt idx="4">
                  <c:v>Yr. 5</c:v>
                </c:pt>
                <c:pt idx="5">
                  <c:v>Yr. 6</c:v>
                </c:pt>
                <c:pt idx="6">
                  <c:v>Yr. 7</c:v>
                </c:pt>
                <c:pt idx="7">
                  <c:v>Yr. 8</c:v>
                </c:pt>
                <c:pt idx="8">
                  <c:v>Yr. 9</c:v>
                </c:pt>
                <c:pt idx="9">
                  <c:v>Yr. 10</c:v>
                </c:pt>
              </c:strCache>
            </c:strRef>
          </c:cat>
          <c:val>
            <c:numRef>
              <c:f>'10year'!$D$100:$M$100</c:f>
              <c:numCache>
                <c:formatCode>#,##0</c:formatCode>
                <c:ptCount val="10"/>
                <c:pt idx="0">
                  <c:v>170000</c:v>
                </c:pt>
                <c:pt idx="1">
                  <c:v>178500</c:v>
                </c:pt>
                <c:pt idx="2">
                  <c:v>187425</c:v>
                </c:pt>
                <c:pt idx="3">
                  <c:v>196796.25</c:v>
                </c:pt>
                <c:pt idx="4">
                  <c:v>206636.0625</c:v>
                </c:pt>
                <c:pt idx="5">
                  <c:v>216967.86562500056</c:v>
                </c:pt>
                <c:pt idx="6">
                  <c:v>227816.25890624989</c:v>
                </c:pt>
                <c:pt idx="7">
                  <c:v>239207.07185156271</c:v>
                </c:pt>
                <c:pt idx="8">
                  <c:v>251167.42544414103</c:v>
                </c:pt>
                <c:pt idx="9">
                  <c:v>263725.79671634827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8352"/>
        <c:axId val="99109888"/>
      </c:barChart>
      <c:catAx>
        <c:axId val="9910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99109888"/>
        <c:crosses val="autoZero"/>
        <c:auto val="1"/>
        <c:lblAlgn val="ctr"/>
        <c:lblOffset val="100"/>
        <c:noMultiLvlLbl val="0"/>
      </c:catAx>
      <c:valAx>
        <c:axId val="9910988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9910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EBFB0.3B2B0EF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197</xdr:row>
      <xdr:rowOff>142875</xdr:rowOff>
    </xdr:from>
    <xdr:to>
      <xdr:col>8</xdr:col>
      <xdr:colOff>238125</xdr:colOff>
      <xdr:row>215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</xdr:colOff>
      <xdr:row>26</xdr:row>
      <xdr:rowOff>19194</xdr:rowOff>
    </xdr:from>
    <xdr:to>
      <xdr:col>13</xdr:col>
      <xdr:colOff>22860</xdr:colOff>
      <xdr:row>32</xdr:row>
      <xdr:rowOff>7620</xdr:rowOff>
    </xdr:to>
    <xdr:pic>
      <xdr:nvPicPr>
        <xdr:cNvPr id="5" name="22deaed2-15de-4bcb-b2e5-42d1f616361f" descr="cid:image001.png@01CEBFB0.3B2B0EF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7040" y="2968134"/>
          <a:ext cx="2004060" cy="103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219</xdr:row>
      <xdr:rowOff>19050</xdr:rowOff>
    </xdr:from>
    <xdr:to>
      <xdr:col>9</xdr:col>
      <xdr:colOff>114300</xdr:colOff>
      <xdr:row>245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"/>
  <sheetViews>
    <sheetView tabSelected="1" zoomScaleNormal="100" workbookViewId="0">
      <selection activeCell="R6" sqref="R6"/>
    </sheetView>
  </sheetViews>
  <sheetFormatPr defaultColWidth="10" defaultRowHeight="12" x14ac:dyDescent="0.15"/>
  <cols>
    <col min="1" max="1" width="10.5" style="2" customWidth="1"/>
    <col min="2" max="2" width="9.875" style="2" customWidth="1"/>
    <col min="3" max="3" width="13.375" style="2" customWidth="1"/>
    <col min="4" max="4" width="10" style="2" bestFit="1" customWidth="1"/>
    <col min="5" max="5" width="7.625" style="6" customWidth="1"/>
    <col min="6" max="6" width="8.875" style="2" customWidth="1"/>
    <col min="7" max="7" width="13.625" style="2" customWidth="1"/>
    <col min="8" max="8" width="8.5" style="2" customWidth="1"/>
    <col min="9" max="9" width="8.375" style="2" customWidth="1"/>
    <col min="10" max="10" width="8.25" style="2" customWidth="1"/>
    <col min="11" max="11" width="8.75" style="2" customWidth="1"/>
    <col min="12" max="12" width="10.875" style="2" customWidth="1"/>
    <col min="13" max="13" width="9.5" style="2" customWidth="1"/>
    <col min="14" max="16384" width="10" style="2"/>
  </cols>
  <sheetData>
    <row r="1" spans="1:13" s="4" customFormat="1" ht="33.75" x14ac:dyDescent="0.5">
      <c r="A1" s="56"/>
      <c r="B1" s="56"/>
      <c r="C1" s="56"/>
      <c r="D1" s="127"/>
      <c r="E1" s="125" t="s">
        <v>145</v>
      </c>
      <c r="F1" s="127"/>
      <c r="G1" s="127"/>
      <c r="H1" s="56"/>
      <c r="I1" s="56"/>
      <c r="J1" s="56"/>
      <c r="K1" s="56"/>
      <c r="L1" s="56"/>
      <c r="M1" s="56"/>
    </row>
    <row r="2" spans="1:13" ht="33.75" thickBot="1" x14ac:dyDescent="0.5">
      <c r="A2" s="56" t="s">
        <v>163</v>
      </c>
      <c r="B2" s="52"/>
      <c r="C2" s="53"/>
      <c r="D2" s="126"/>
      <c r="E2" s="126"/>
      <c r="F2" s="126"/>
      <c r="G2" s="126"/>
      <c r="H2" s="54"/>
      <c r="I2" s="54"/>
      <c r="J2" s="55"/>
      <c r="K2" s="55"/>
      <c r="L2" s="55"/>
      <c r="M2" s="55"/>
    </row>
    <row r="3" spans="1:13" ht="13.5" thickBot="1" x14ac:dyDescent="0.25">
      <c r="A3" s="66" t="s">
        <v>0</v>
      </c>
      <c r="B3" s="67"/>
      <c r="C3" s="68"/>
      <c r="D3" s="65">
        <v>3400000</v>
      </c>
      <c r="E3" s="42"/>
      <c r="F3" s="41"/>
      <c r="G3" s="41"/>
      <c r="H3" s="41"/>
      <c r="I3" s="41"/>
      <c r="J3" s="43"/>
      <c r="K3" s="43"/>
      <c r="L3" s="43"/>
      <c r="M3" s="43"/>
    </row>
    <row r="4" spans="1:13" ht="13.5" thickBot="1" x14ac:dyDescent="0.25">
      <c r="A4" s="66" t="s">
        <v>1</v>
      </c>
      <c r="B4" s="67"/>
      <c r="C4" s="68"/>
      <c r="D4" s="69">
        <v>1700000</v>
      </c>
      <c r="E4" s="41"/>
      <c r="F4" s="41"/>
      <c r="G4" s="41"/>
      <c r="H4" s="41"/>
      <c r="I4" s="41"/>
      <c r="J4" s="43"/>
      <c r="K4" s="43"/>
      <c r="L4" s="43"/>
      <c r="M4" s="43"/>
    </row>
    <row r="5" spans="1:13" ht="13.5" thickBot="1" x14ac:dyDescent="0.25">
      <c r="A5" s="66" t="s">
        <v>2</v>
      </c>
      <c r="B5" s="67"/>
      <c r="C5" s="68"/>
      <c r="D5" s="70">
        <v>4.2</v>
      </c>
      <c r="E5" s="49" t="s">
        <v>159</v>
      </c>
      <c r="F5" s="41"/>
      <c r="G5" s="41"/>
      <c r="H5" s="41"/>
      <c r="I5" s="41"/>
      <c r="J5" s="43"/>
      <c r="K5" s="43"/>
      <c r="L5" s="43"/>
      <c r="M5" s="43"/>
    </row>
    <row r="6" spans="1:13" ht="13.5" thickBot="1" x14ac:dyDescent="0.25">
      <c r="A6" s="66" t="s">
        <v>4</v>
      </c>
      <c r="B6" s="67"/>
      <c r="C6" s="68"/>
      <c r="D6" s="71">
        <v>30</v>
      </c>
      <c r="E6" s="49" t="s">
        <v>5</v>
      </c>
      <c r="F6" s="41"/>
      <c r="G6" s="41"/>
      <c r="H6" s="41"/>
      <c r="I6" s="41"/>
      <c r="J6" s="43"/>
      <c r="K6" s="43"/>
      <c r="L6" s="43"/>
      <c r="M6" s="43"/>
    </row>
    <row r="7" spans="1:13" ht="13.5" thickBot="1" x14ac:dyDescent="0.25">
      <c r="A7" s="66" t="s">
        <v>6</v>
      </c>
      <c r="B7" s="67"/>
      <c r="C7" s="68"/>
      <c r="D7" s="71">
        <v>60</v>
      </c>
      <c r="E7" s="49" t="s">
        <v>3</v>
      </c>
      <c r="F7" s="41" t="s">
        <v>157</v>
      </c>
      <c r="G7" s="41"/>
      <c r="H7" s="41"/>
      <c r="I7" s="41"/>
      <c r="J7" s="43"/>
      <c r="K7" s="43"/>
      <c r="L7" s="84"/>
      <c r="M7" s="43"/>
    </row>
    <row r="8" spans="1:13" ht="13.5" thickBot="1" x14ac:dyDescent="0.25">
      <c r="A8" s="66" t="s">
        <v>7</v>
      </c>
      <c r="B8" s="67"/>
      <c r="C8" s="68"/>
      <c r="D8" s="71">
        <v>27.5</v>
      </c>
      <c r="E8" s="49" t="s">
        <v>146</v>
      </c>
      <c r="F8" s="41"/>
      <c r="G8" s="43"/>
      <c r="H8" s="41" t="s">
        <v>156</v>
      </c>
      <c r="I8" s="41"/>
      <c r="J8" s="43"/>
      <c r="K8" s="43"/>
      <c r="L8" s="43"/>
      <c r="M8" s="43"/>
    </row>
    <row r="9" spans="1:13" ht="13.5" thickBot="1" x14ac:dyDescent="0.25">
      <c r="A9" s="66" t="s">
        <v>83</v>
      </c>
      <c r="B9" s="67"/>
      <c r="C9" s="68"/>
      <c r="D9" s="69">
        <v>260000</v>
      </c>
      <c r="E9" s="41"/>
      <c r="F9" s="41"/>
      <c r="G9" s="41"/>
      <c r="H9" s="41"/>
      <c r="I9" s="41"/>
      <c r="J9" s="43"/>
      <c r="K9" s="43"/>
      <c r="L9" s="43"/>
      <c r="M9" s="43"/>
    </row>
    <row r="10" spans="1:13" ht="13.5" thickBot="1" x14ac:dyDescent="0.25">
      <c r="A10" s="66" t="s">
        <v>110</v>
      </c>
      <c r="B10" s="67"/>
      <c r="C10" s="68"/>
      <c r="D10" s="70">
        <v>5</v>
      </c>
      <c r="E10" s="49" t="s">
        <v>3</v>
      </c>
      <c r="F10" s="41"/>
      <c r="G10" s="41"/>
      <c r="H10" s="41"/>
      <c r="I10" s="41"/>
      <c r="J10" s="43"/>
      <c r="K10" s="43"/>
      <c r="L10" s="43"/>
      <c r="M10" s="43"/>
    </row>
    <row r="11" spans="1:13" ht="12.75" hidden="1" x14ac:dyDescent="0.2">
      <c r="A11" s="44" t="s">
        <v>82</v>
      </c>
      <c r="B11" s="45"/>
      <c r="C11" s="46"/>
      <c r="D11" s="47"/>
      <c r="E11" s="50"/>
      <c r="F11" s="41"/>
      <c r="G11" s="41"/>
      <c r="H11" s="41"/>
      <c r="I11" s="41"/>
      <c r="J11" s="43"/>
      <c r="K11" s="43"/>
      <c r="L11" s="43"/>
      <c r="M11" s="43"/>
    </row>
    <row r="12" spans="1:13" ht="12.75" hidden="1" x14ac:dyDescent="0.2">
      <c r="A12" s="44" t="s">
        <v>8</v>
      </c>
      <c r="B12" s="45"/>
      <c r="C12" s="46"/>
      <c r="D12" s="47"/>
      <c r="E12" s="41"/>
      <c r="F12" s="41"/>
      <c r="G12" s="41"/>
      <c r="H12" s="41"/>
      <c r="I12" s="41"/>
      <c r="J12" s="43"/>
      <c r="K12" s="43"/>
      <c r="L12" s="43"/>
      <c r="M12" s="43"/>
    </row>
    <row r="13" spans="1:13" ht="12.75" hidden="1" x14ac:dyDescent="0.2">
      <c r="A13" s="44" t="s">
        <v>9</v>
      </c>
      <c r="B13" s="45"/>
      <c r="C13" s="46"/>
      <c r="D13" s="47"/>
      <c r="E13" s="41"/>
      <c r="F13" s="41"/>
      <c r="G13" s="41"/>
      <c r="H13" s="41"/>
      <c r="I13" s="41"/>
      <c r="J13" s="43"/>
      <c r="K13" s="43"/>
      <c r="L13" s="43"/>
      <c r="M13" s="43"/>
    </row>
    <row r="14" spans="1:13" ht="12.75" hidden="1" x14ac:dyDescent="0.2">
      <c r="A14" s="44" t="s">
        <v>10</v>
      </c>
      <c r="B14" s="45"/>
      <c r="C14" s="46"/>
      <c r="D14" s="47"/>
      <c r="E14" s="41"/>
      <c r="F14" s="41"/>
      <c r="G14" s="41"/>
      <c r="H14" s="41"/>
      <c r="I14" s="41"/>
      <c r="J14" s="43"/>
      <c r="K14" s="43"/>
      <c r="L14" s="43"/>
      <c r="M14" s="43"/>
    </row>
    <row r="15" spans="1:13" ht="13.5" thickBot="1" x14ac:dyDescent="0.25">
      <c r="A15" s="66" t="s">
        <v>149</v>
      </c>
      <c r="B15" s="67"/>
      <c r="C15" s="68"/>
      <c r="D15" s="69">
        <v>72000</v>
      </c>
      <c r="E15" s="51" t="s">
        <v>158</v>
      </c>
      <c r="F15" s="41"/>
      <c r="G15" s="41"/>
      <c r="H15" s="41"/>
      <c r="I15" s="41"/>
      <c r="J15" s="43"/>
      <c r="K15" s="43"/>
      <c r="L15" s="43"/>
      <c r="M15" s="43"/>
    </row>
    <row r="16" spans="1:13" ht="12.75" hidden="1" x14ac:dyDescent="0.2">
      <c r="A16" s="44" t="s">
        <v>11</v>
      </c>
      <c r="B16" s="45"/>
      <c r="C16" s="46"/>
      <c r="D16" s="47"/>
      <c r="E16" s="41"/>
      <c r="F16" s="41"/>
      <c r="G16" s="41"/>
      <c r="H16" s="41"/>
      <c r="I16" s="41"/>
      <c r="J16" s="43"/>
      <c r="K16" s="43"/>
      <c r="L16" s="43"/>
      <c r="M16" s="43"/>
    </row>
    <row r="17" spans="1:13" ht="12.75" hidden="1" x14ac:dyDescent="0.2">
      <c r="A17" s="44" t="s">
        <v>94</v>
      </c>
      <c r="B17" s="45"/>
      <c r="C17" s="46"/>
      <c r="D17" s="47"/>
      <c r="E17" s="41"/>
      <c r="F17" s="41"/>
      <c r="G17" s="41"/>
      <c r="H17" s="41"/>
      <c r="I17" s="41"/>
      <c r="J17" s="43"/>
      <c r="K17" s="43"/>
      <c r="L17" s="43"/>
      <c r="M17" s="43"/>
    </row>
    <row r="18" spans="1:13" ht="13.5" thickBot="1" x14ac:dyDescent="0.25">
      <c r="A18" s="66" t="s">
        <v>147</v>
      </c>
      <c r="B18" s="67"/>
      <c r="C18" s="68"/>
      <c r="D18" s="70">
        <v>0</v>
      </c>
      <c r="E18" s="49" t="s">
        <v>95</v>
      </c>
      <c r="F18" s="41"/>
      <c r="G18" s="41"/>
      <c r="H18" s="41"/>
      <c r="I18" s="41"/>
      <c r="J18" s="43"/>
      <c r="K18" s="43"/>
      <c r="L18" s="43"/>
      <c r="M18" s="43"/>
    </row>
    <row r="19" spans="1:13" ht="13.5" thickBot="1" x14ac:dyDescent="0.25">
      <c r="A19" s="44" t="s">
        <v>148</v>
      </c>
      <c r="B19" s="45"/>
      <c r="C19" s="46"/>
      <c r="D19" s="48">
        <v>0</v>
      </c>
      <c r="E19" s="49" t="s">
        <v>95</v>
      </c>
      <c r="F19" s="41"/>
      <c r="G19" s="41"/>
      <c r="H19" s="41"/>
      <c r="I19" s="41"/>
      <c r="J19" s="43"/>
      <c r="K19" s="43"/>
      <c r="L19" s="43"/>
      <c r="M19" s="43"/>
    </row>
    <row r="20" spans="1:13" ht="12.75" hidden="1" x14ac:dyDescent="0.2">
      <c r="A20" s="21" t="s">
        <v>12</v>
      </c>
      <c r="B20" s="22"/>
      <c r="C20" s="23"/>
      <c r="D20" s="20">
        <v>0</v>
      </c>
      <c r="E20" s="19"/>
      <c r="F20" s="19"/>
      <c r="G20" s="19"/>
      <c r="H20" s="19"/>
      <c r="I20" s="19"/>
    </row>
    <row r="21" spans="1:13" ht="12.75" hidden="1" x14ac:dyDescent="0.2">
      <c r="A21" s="21" t="s">
        <v>13</v>
      </c>
      <c r="B21" s="22"/>
      <c r="C21" s="23"/>
      <c r="D21" s="20">
        <v>0</v>
      </c>
      <c r="E21" s="19"/>
      <c r="F21" s="19"/>
      <c r="G21" s="19"/>
      <c r="H21" s="19"/>
      <c r="I21" s="19"/>
    </row>
    <row r="22" spans="1:13" ht="12.75" hidden="1" x14ac:dyDescent="0.2">
      <c r="A22" s="21" t="s">
        <v>14</v>
      </c>
      <c r="B22" s="22"/>
      <c r="C22" s="23"/>
      <c r="D22" s="20">
        <v>0</v>
      </c>
      <c r="E22" s="19"/>
      <c r="F22" s="19"/>
      <c r="G22" s="19"/>
      <c r="H22" s="19"/>
      <c r="I22" s="19"/>
    </row>
    <row r="23" spans="1:13" ht="12.75" hidden="1" x14ac:dyDescent="0.2">
      <c r="A23" s="21" t="s">
        <v>14</v>
      </c>
      <c r="B23" s="22"/>
      <c r="C23" s="23"/>
      <c r="D23" s="20">
        <v>0</v>
      </c>
      <c r="E23" s="19"/>
      <c r="F23" s="19"/>
      <c r="G23" s="19"/>
      <c r="H23" s="19"/>
      <c r="I23" s="19"/>
    </row>
    <row r="24" spans="1:13" ht="12.75" hidden="1" x14ac:dyDescent="0.2">
      <c r="A24" s="21" t="s">
        <v>14</v>
      </c>
      <c r="B24" s="22"/>
      <c r="C24" s="23"/>
      <c r="D24" s="20">
        <v>0</v>
      </c>
      <c r="E24" s="19"/>
      <c r="F24" s="19"/>
      <c r="G24" s="19"/>
      <c r="H24" s="19"/>
      <c r="I24" s="19"/>
    </row>
    <row r="25" spans="1:13" ht="12.75" hidden="1" x14ac:dyDescent="0.2">
      <c r="A25" s="21" t="s">
        <v>14</v>
      </c>
      <c r="B25" s="22"/>
      <c r="C25" s="23"/>
      <c r="D25" s="20">
        <v>0</v>
      </c>
      <c r="E25" s="19"/>
      <c r="F25" s="19"/>
      <c r="G25" s="19"/>
      <c r="H25" s="19"/>
      <c r="I25" s="19"/>
    </row>
    <row r="26" spans="1:13" ht="13.5" thickBot="1" x14ac:dyDescent="0.25">
      <c r="A26" s="73" t="s">
        <v>111</v>
      </c>
      <c r="B26" s="74"/>
      <c r="C26" s="75"/>
      <c r="D26" s="72">
        <v>5</v>
      </c>
      <c r="E26" s="3" t="s">
        <v>3</v>
      </c>
      <c r="F26" s="1"/>
      <c r="G26" s="1"/>
      <c r="H26" s="1" t="s">
        <v>141</v>
      </c>
      <c r="I26" s="1"/>
    </row>
    <row r="27" spans="1:13" ht="13.5" thickBot="1" x14ac:dyDescent="0.25">
      <c r="A27" s="73" t="s">
        <v>112</v>
      </c>
      <c r="B27" s="74"/>
      <c r="C27" s="75"/>
      <c r="D27" s="72">
        <v>1</v>
      </c>
      <c r="E27" s="3" t="s">
        <v>3</v>
      </c>
      <c r="F27" s="1"/>
      <c r="G27" s="1"/>
      <c r="H27" s="1"/>
      <c r="I27" s="1"/>
    </row>
    <row r="28" spans="1:13" ht="13.5" thickBot="1" x14ac:dyDescent="0.25">
      <c r="A28" s="73" t="s">
        <v>15</v>
      </c>
      <c r="B28" s="74"/>
      <c r="C28" s="75"/>
      <c r="D28" s="72">
        <v>5</v>
      </c>
      <c r="E28" s="3" t="s">
        <v>3</v>
      </c>
      <c r="F28" s="1"/>
      <c r="G28" s="1"/>
      <c r="H28" s="1"/>
      <c r="I28" s="1"/>
    </row>
    <row r="29" spans="1:13" ht="13.5" thickBot="1" x14ac:dyDescent="0.25">
      <c r="A29" s="73" t="s">
        <v>16</v>
      </c>
      <c r="B29" s="74"/>
      <c r="C29" s="75"/>
      <c r="D29" s="72">
        <v>30</v>
      </c>
      <c r="E29" s="3" t="s">
        <v>3</v>
      </c>
      <c r="F29" s="1"/>
      <c r="G29" s="1"/>
      <c r="H29" s="1"/>
      <c r="I29" s="1"/>
    </row>
    <row r="30" spans="1:13" ht="13.5" thickBot="1" x14ac:dyDescent="0.25">
      <c r="A30" s="73" t="s">
        <v>17</v>
      </c>
      <c r="B30" s="74"/>
      <c r="C30" s="75"/>
      <c r="D30" s="72">
        <v>20</v>
      </c>
      <c r="E30" s="3" t="s">
        <v>3</v>
      </c>
      <c r="F30" s="1"/>
      <c r="G30" s="1"/>
      <c r="H30" s="1"/>
      <c r="I30" s="1"/>
    </row>
    <row r="31" spans="1:13" ht="13.5" thickBot="1" x14ac:dyDescent="0.25">
      <c r="A31" s="73" t="s">
        <v>132</v>
      </c>
      <c r="B31" s="74"/>
      <c r="C31" s="75"/>
      <c r="D31" s="72">
        <v>25</v>
      </c>
      <c r="E31" s="3" t="s">
        <v>3</v>
      </c>
      <c r="F31" s="1"/>
      <c r="G31" s="1"/>
      <c r="H31" s="1"/>
      <c r="I31" s="1"/>
    </row>
    <row r="32" spans="1:13" ht="13.5" thickBot="1" x14ac:dyDescent="0.25">
      <c r="A32" s="73" t="s">
        <v>113</v>
      </c>
      <c r="B32" s="74"/>
      <c r="C32" s="75"/>
      <c r="D32" s="76">
        <v>50000</v>
      </c>
      <c r="E32" s="1"/>
      <c r="F32" s="1"/>
      <c r="G32" s="1"/>
      <c r="H32" s="1"/>
      <c r="I32" s="1"/>
    </row>
    <row r="33" spans="1:17" ht="13.5" thickBot="1" x14ac:dyDescent="0.25">
      <c r="A33" s="73" t="s">
        <v>114</v>
      </c>
      <c r="B33" s="74"/>
      <c r="C33" s="75"/>
      <c r="D33" s="72">
        <v>1</v>
      </c>
      <c r="E33" s="3" t="s">
        <v>3</v>
      </c>
      <c r="F33" s="1" t="s">
        <v>84</v>
      </c>
      <c r="G33" s="1"/>
      <c r="H33" s="1"/>
      <c r="I33" s="1"/>
    </row>
    <row r="34" spans="1:17" ht="13.5" thickBot="1" x14ac:dyDescent="0.25">
      <c r="A34" s="73" t="s">
        <v>115</v>
      </c>
      <c r="B34" s="74"/>
      <c r="C34" s="75"/>
      <c r="D34" s="77">
        <v>5</v>
      </c>
      <c r="E34" s="3" t="s">
        <v>3</v>
      </c>
      <c r="F34" s="1" t="s">
        <v>84</v>
      </c>
      <c r="G34" s="1"/>
      <c r="H34" s="1"/>
      <c r="I34" s="1"/>
    </row>
    <row r="35" spans="1:17" ht="12.75" x14ac:dyDescent="0.2">
      <c r="A35" s="1"/>
      <c r="B35" s="1"/>
      <c r="C35" s="1"/>
      <c r="D35" s="1"/>
      <c r="E35" s="7"/>
      <c r="F35" s="1"/>
      <c r="G35" s="1"/>
      <c r="H35" s="1"/>
      <c r="I35" s="1"/>
      <c r="J35" s="1"/>
      <c r="K35" s="1"/>
      <c r="L35" s="1"/>
      <c r="M35" s="1"/>
    </row>
    <row r="36" spans="1:17" ht="12.75" x14ac:dyDescent="0.2">
      <c r="A36" s="1"/>
      <c r="B36" s="1"/>
      <c r="C36" s="1"/>
      <c r="D36" s="1"/>
      <c r="E36" s="3" t="s">
        <v>85</v>
      </c>
      <c r="F36" s="1"/>
      <c r="G36" s="1"/>
      <c r="H36" s="1"/>
      <c r="I36" s="1"/>
      <c r="J36" s="1"/>
      <c r="K36" s="1"/>
      <c r="L36" s="3" t="s">
        <v>142</v>
      </c>
      <c r="M36" s="1"/>
    </row>
    <row r="37" spans="1:17" ht="12.75" x14ac:dyDescent="0.2">
      <c r="A37" s="1"/>
      <c r="B37" s="1"/>
      <c r="C37" s="1"/>
      <c r="D37" s="1"/>
      <c r="E37" s="5"/>
      <c r="F37" s="1"/>
      <c r="G37" s="1"/>
      <c r="H37" s="1"/>
      <c r="I37" s="1"/>
      <c r="J37" s="1"/>
      <c r="K37" s="1"/>
      <c r="L37" s="1"/>
      <c r="M37" s="1"/>
    </row>
    <row r="38" spans="1:17" ht="12.75" x14ac:dyDescent="0.2">
      <c r="A38" s="16" t="s">
        <v>18</v>
      </c>
      <c r="B38" s="8"/>
      <c r="C38" s="78"/>
      <c r="D38" s="78"/>
      <c r="E38" s="18"/>
      <c r="F38" s="16" t="s">
        <v>116</v>
      </c>
      <c r="G38" s="17"/>
      <c r="H38" s="81"/>
      <c r="I38" s="81"/>
      <c r="J38" s="18"/>
      <c r="K38" s="16" t="s">
        <v>117</v>
      </c>
      <c r="L38" s="8"/>
      <c r="M38" s="38"/>
      <c r="N38" s="1"/>
      <c r="O38" s="1"/>
      <c r="P38" s="1"/>
      <c r="Q38" s="1"/>
    </row>
    <row r="39" spans="1:17" ht="12.75" x14ac:dyDescent="0.2">
      <c r="A39" s="9"/>
      <c r="B39" s="9"/>
      <c r="C39" s="78"/>
      <c r="D39" s="78"/>
      <c r="E39" s="18"/>
      <c r="F39" s="9"/>
      <c r="G39" s="12"/>
      <c r="H39" s="81"/>
      <c r="I39" s="81"/>
      <c r="J39" s="18"/>
      <c r="K39" s="9"/>
      <c r="L39" s="9"/>
      <c r="M39" s="9"/>
      <c r="N39" s="1"/>
      <c r="O39" s="1"/>
      <c r="P39" s="1"/>
      <c r="Q39" s="1"/>
    </row>
    <row r="40" spans="1:17" ht="12.75" x14ac:dyDescent="0.2">
      <c r="A40" s="10" t="s">
        <v>19</v>
      </c>
      <c r="B40" s="11">
        <f>D3</f>
        <v>3400000</v>
      </c>
      <c r="C40" s="79"/>
      <c r="D40" s="79"/>
      <c r="E40" s="18"/>
      <c r="F40" s="10" t="s">
        <v>20</v>
      </c>
      <c r="G40" s="13">
        <f>D5/100</f>
        <v>4.2000000000000003E-2</v>
      </c>
      <c r="H40" s="82"/>
      <c r="I40" s="82"/>
      <c r="J40" s="18"/>
      <c r="K40" s="10" t="s">
        <v>21</v>
      </c>
      <c r="L40" s="15">
        <v>0.5</v>
      </c>
      <c r="M40" s="11">
        <f>L40*B40</f>
        <v>1700000</v>
      </c>
      <c r="N40" s="1"/>
      <c r="O40" s="1"/>
      <c r="P40" s="1"/>
      <c r="Q40" s="1"/>
    </row>
    <row r="41" spans="1:17" ht="12.75" x14ac:dyDescent="0.2">
      <c r="A41" s="10" t="s">
        <v>22</v>
      </c>
      <c r="B41" s="11">
        <f>D4</f>
        <v>1700000</v>
      </c>
      <c r="C41" s="79"/>
      <c r="D41" s="79"/>
      <c r="E41" s="18"/>
      <c r="F41" s="10" t="s">
        <v>23</v>
      </c>
      <c r="G41" s="12">
        <f>D6</f>
        <v>30</v>
      </c>
      <c r="H41" s="81"/>
      <c r="I41" s="81"/>
      <c r="J41" s="18"/>
      <c r="K41" s="10" t="s">
        <v>24</v>
      </c>
      <c r="L41" s="15">
        <v>0.5</v>
      </c>
      <c r="M41" s="11">
        <v>437500</v>
      </c>
      <c r="N41" s="1"/>
      <c r="O41" s="1"/>
      <c r="P41" s="1"/>
      <c r="Q41" s="1"/>
    </row>
    <row r="42" spans="1:17" ht="12.75" x14ac:dyDescent="0.2">
      <c r="A42" s="10" t="s">
        <v>25</v>
      </c>
      <c r="B42" s="11">
        <f>B40-B41</f>
        <v>1700000</v>
      </c>
      <c r="C42" s="79"/>
      <c r="D42" s="79"/>
      <c r="E42" s="18"/>
      <c r="F42" s="10" t="s">
        <v>26</v>
      </c>
      <c r="G42" s="14">
        <f>PMT((G40/12),(G41*12),-B42)</f>
        <v>8313.2919531299431</v>
      </c>
      <c r="H42" s="83"/>
      <c r="I42" s="83"/>
      <c r="J42" s="18"/>
      <c r="K42" s="10" t="s">
        <v>23</v>
      </c>
      <c r="L42" s="9">
        <f>D8</f>
        <v>27.5</v>
      </c>
      <c r="M42" s="9"/>
      <c r="N42" s="1"/>
      <c r="O42" s="1"/>
      <c r="P42" s="1"/>
      <c r="Q42" s="1"/>
    </row>
    <row r="43" spans="1:17" ht="12.75" x14ac:dyDescent="0.2">
      <c r="A43" s="10" t="s">
        <v>27</v>
      </c>
      <c r="B43" s="11">
        <f>(D33/100)*B40</f>
        <v>34000</v>
      </c>
      <c r="C43" s="79"/>
      <c r="D43" s="79"/>
      <c r="E43" s="18"/>
      <c r="F43" s="10" t="s">
        <v>28</v>
      </c>
      <c r="G43" s="14">
        <f>G42*12</f>
        <v>99759.503437559324</v>
      </c>
      <c r="H43" s="83"/>
      <c r="I43" s="83"/>
      <c r="J43" s="18"/>
      <c r="K43" s="10" t="s">
        <v>29</v>
      </c>
      <c r="L43" s="11">
        <f>M41/L42</f>
        <v>15909.09090909091</v>
      </c>
      <c r="M43" s="9"/>
      <c r="N43" s="1"/>
      <c r="O43" s="1"/>
      <c r="P43" s="1"/>
      <c r="Q43" s="1"/>
    </row>
    <row r="44" spans="1:17" ht="12.75" x14ac:dyDescent="0.2">
      <c r="A44" s="10" t="s">
        <v>30</v>
      </c>
      <c r="B44" s="11">
        <f>D32</f>
        <v>50000</v>
      </c>
      <c r="C44" s="79"/>
      <c r="D44" s="79"/>
      <c r="E44" s="18"/>
      <c r="F44" s="9"/>
      <c r="G44" s="12"/>
      <c r="H44" s="81"/>
      <c r="I44" s="81"/>
      <c r="J44" s="18"/>
      <c r="K44" s="9"/>
      <c r="L44" s="9"/>
      <c r="M44" s="9"/>
      <c r="N44" s="1"/>
      <c r="O44" s="1"/>
      <c r="P44" s="1"/>
      <c r="Q44" s="1"/>
    </row>
    <row r="45" spans="1:17" ht="12.75" x14ac:dyDescent="0.2">
      <c r="A45" s="36" t="s">
        <v>151</v>
      </c>
      <c r="B45" s="36">
        <f>D3/D9</f>
        <v>13.076923076923077</v>
      </c>
      <c r="C45" s="80"/>
      <c r="D45" s="80"/>
      <c r="E45" s="18"/>
      <c r="F45" s="9"/>
      <c r="G45" s="12"/>
      <c r="H45" s="81"/>
      <c r="I45" s="81"/>
      <c r="J45" s="18"/>
      <c r="K45" s="9"/>
      <c r="L45" s="9"/>
      <c r="M45" s="9"/>
      <c r="N45" s="1"/>
      <c r="O45" s="1"/>
      <c r="P45" s="1"/>
      <c r="Q45" s="1"/>
    </row>
    <row r="46" spans="1:17" ht="12.75" x14ac:dyDescent="0.2">
      <c r="A46" s="36" t="s">
        <v>153</v>
      </c>
      <c r="B46" s="37">
        <f>D77/D3</f>
        <v>5.1470588235294115E-2</v>
      </c>
      <c r="C46" s="1"/>
      <c r="D46" s="1"/>
      <c r="E46" s="5"/>
      <c r="F46" s="1"/>
      <c r="G46" s="1"/>
      <c r="H46" s="1"/>
      <c r="I46" s="1"/>
      <c r="J46" s="1"/>
      <c r="K46" s="1"/>
      <c r="L46" s="1"/>
      <c r="M46" s="1"/>
    </row>
    <row r="47" spans="1:17" ht="12.75" x14ac:dyDescent="0.2">
      <c r="A47" s="24" t="s">
        <v>31</v>
      </c>
      <c r="B47" s="25"/>
      <c r="C47" s="25"/>
      <c r="D47" s="26" t="s">
        <v>96</v>
      </c>
      <c r="E47" s="27" t="s">
        <v>97</v>
      </c>
      <c r="F47" s="26" t="s">
        <v>98</v>
      </c>
      <c r="G47" s="26" t="s">
        <v>99</v>
      </c>
      <c r="H47" s="26" t="s">
        <v>100</v>
      </c>
      <c r="I47" s="26" t="s">
        <v>101</v>
      </c>
      <c r="J47" s="26" t="s">
        <v>102</v>
      </c>
      <c r="K47" s="26" t="s">
        <v>103</v>
      </c>
      <c r="L47" s="26" t="s">
        <v>104</v>
      </c>
      <c r="M47" s="26" t="s">
        <v>105</v>
      </c>
    </row>
    <row r="48" spans="1:17" ht="12.75" x14ac:dyDescent="0.2">
      <c r="A48" s="25"/>
      <c r="B48" s="25"/>
      <c r="C48" s="25"/>
      <c r="D48" s="25"/>
      <c r="E48" s="28"/>
      <c r="F48" s="25"/>
      <c r="G48" s="25"/>
      <c r="H48" s="25"/>
      <c r="I48" s="25"/>
      <c r="J48" s="25"/>
      <c r="K48" s="25"/>
      <c r="L48" s="25"/>
      <c r="M48" s="25"/>
    </row>
    <row r="49" spans="1:13" ht="12.75" x14ac:dyDescent="0.2">
      <c r="A49" s="24" t="s">
        <v>107</v>
      </c>
      <c r="B49" s="25"/>
      <c r="C49" s="29">
        <f>D26/100</f>
        <v>0.05</v>
      </c>
      <c r="D49" s="30"/>
      <c r="E49" s="30">
        <f>C49</f>
        <v>0.05</v>
      </c>
      <c r="F49" s="30">
        <f>C49</f>
        <v>0.05</v>
      </c>
      <c r="G49" s="30">
        <f>C49</f>
        <v>0.05</v>
      </c>
      <c r="H49" s="30">
        <f>C49</f>
        <v>0.05</v>
      </c>
      <c r="I49" s="30">
        <f>C49</f>
        <v>0.05</v>
      </c>
      <c r="J49" s="30">
        <f>C49</f>
        <v>0.05</v>
      </c>
      <c r="K49" s="30">
        <f>C49</f>
        <v>0.05</v>
      </c>
      <c r="L49" s="30">
        <f>C49</f>
        <v>0.05</v>
      </c>
      <c r="M49" s="30">
        <f>C49</f>
        <v>0.05</v>
      </c>
    </row>
    <row r="50" spans="1:13" ht="12.75" x14ac:dyDescent="0.2">
      <c r="A50" s="24" t="s">
        <v>108</v>
      </c>
      <c r="B50" s="25"/>
      <c r="C50" s="25"/>
      <c r="D50" s="31">
        <f>D9</f>
        <v>260000</v>
      </c>
      <c r="E50" s="31">
        <f t="shared" ref="E50:M50" si="0">(1+E49)*D50</f>
        <v>273000</v>
      </c>
      <c r="F50" s="31">
        <f t="shared" si="0"/>
        <v>286650</v>
      </c>
      <c r="G50" s="31">
        <f t="shared" si="0"/>
        <v>300982.5</v>
      </c>
      <c r="H50" s="31">
        <f t="shared" si="0"/>
        <v>316031.625</v>
      </c>
      <c r="I50" s="31">
        <f t="shared" si="0"/>
        <v>331833.20624999999</v>
      </c>
      <c r="J50" s="31">
        <f t="shared" si="0"/>
        <v>348424.86656250001</v>
      </c>
      <c r="K50" s="31">
        <f t="shared" si="0"/>
        <v>365846.10989062506</v>
      </c>
      <c r="L50" s="31">
        <f t="shared" si="0"/>
        <v>384138.41538515635</v>
      </c>
      <c r="M50" s="31">
        <f t="shared" si="0"/>
        <v>403345.33615441417</v>
      </c>
    </row>
    <row r="51" spans="1:13" ht="12.75" x14ac:dyDescent="0.2">
      <c r="A51" s="24" t="s">
        <v>109</v>
      </c>
      <c r="B51" s="25"/>
      <c r="C51" s="29">
        <f>D10/100</f>
        <v>0.05</v>
      </c>
      <c r="D51" s="31">
        <f>C51*D50</f>
        <v>13000</v>
      </c>
      <c r="E51" s="31">
        <f>C51*E50</f>
        <v>13650</v>
      </c>
      <c r="F51" s="31">
        <f>C51*F50</f>
        <v>14332.5</v>
      </c>
      <c r="G51" s="31">
        <f>C51*G50</f>
        <v>15049.125</v>
      </c>
      <c r="H51" s="31">
        <f>C51*H50</f>
        <v>15801.581250000001</v>
      </c>
      <c r="I51" s="31">
        <f>C51*I50</f>
        <v>16591.6603125</v>
      </c>
      <c r="J51" s="31">
        <f>C51*J50</f>
        <v>17421.243328125001</v>
      </c>
      <c r="K51" s="31">
        <f>C51*K50</f>
        <v>18292.305494531254</v>
      </c>
      <c r="L51" s="31">
        <f>C51*L50</f>
        <v>19206.920769257817</v>
      </c>
      <c r="M51" s="31">
        <f>C51*M50</f>
        <v>20167.266807720709</v>
      </c>
    </row>
    <row r="52" spans="1:13" ht="12.75" x14ac:dyDescent="0.2">
      <c r="A52" s="24" t="s">
        <v>32</v>
      </c>
      <c r="B52" s="25"/>
      <c r="C52" s="25"/>
      <c r="D52" s="31">
        <f t="shared" ref="D52:M52" si="1">D50-D51</f>
        <v>247000</v>
      </c>
      <c r="E52" s="31">
        <f t="shared" si="1"/>
        <v>259350</v>
      </c>
      <c r="F52" s="31">
        <f t="shared" si="1"/>
        <v>272317.5</v>
      </c>
      <c r="G52" s="31">
        <f t="shared" si="1"/>
        <v>285933.375</v>
      </c>
      <c r="H52" s="31">
        <f t="shared" si="1"/>
        <v>300230.04375000001</v>
      </c>
      <c r="I52" s="31">
        <f t="shared" si="1"/>
        <v>315241.54593749996</v>
      </c>
      <c r="J52" s="31">
        <f t="shared" si="1"/>
        <v>331003.62323437503</v>
      </c>
      <c r="K52" s="31">
        <f t="shared" si="1"/>
        <v>347553.80439609382</v>
      </c>
      <c r="L52" s="31">
        <f t="shared" si="1"/>
        <v>364931.49461589853</v>
      </c>
      <c r="M52" s="31">
        <f t="shared" si="1"/>
        <v>383178.06934669346</v>
      </c>
    </row>
    <row r="53" spans="1:13" ht="12.75" x14ac:dyDescent="0.2">
      <c r="A53" s="25" t="s">
        <v>118</v>
      </c>
      <c r="B53" s="25"/>
      <c r="C53" s="25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2.75" x14ac:dyDescent="0.2">
      <c r="A54" s="25"/>
      <c r="B54" s="25"/>
      <c r="C54" s="25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2.75" x14ac:dyDescent="0.2">
      <c r="A55" s="24" t="s">
        <v>33</v>
      </c>
      <c r="B55" s="25"/>
      <c r="C55" s="25"/>
      <c r="D55" s="27" t="s">
        <v>121</v>
      </c>
      <c r="E55" s="27" t="s">
        <v>97</v>
      </c>
      <c r="F55" s="27" t="s">
        <v>98</v>
      </c>
      <c r="G55" s="27" t="s">
        <v>99</v>
      </c>
      <c r="H55" s="27" t="s">
        <v>100</v>
      </c>
      <c r="I55" s="27" t="s">
        <v>101</v>
      </c>
      <c r="J55" s="27" t="s">
        <v>102</v>
      </c>
      <c r="K55" s="27" t="s">
        <v>103</v>
      </c>
      <c r="L55" s="27" t="s">
        <v>104</v>
      </c>
      <c r="M55" s="27" t="s">
        <v>105</v>
      </c>
    </row>
    <row r="56" spans="1:13" ht="12.75" x14ac:dyDescent="0.2">
      <c r="A56" s="25"/>
      <c r="B56" s="25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ht="12.75" x14ac:dyDescent="0.2">
      <c r="A57" s="24" t="s">
        <v>106</v>
      </c>
      <c r="B57" s="25"/>
      <c r="C57" s="29">
        <f>D27/100</f>
        <v>0.01</v>
      </c>
      <c r="D57" s="30"/>
      <c r="E57" s="30">
        <f>C57</f>
        <v>0.01</v>
      </c>
      <c r="F57" s="30">
        <f>C57</f>
        <v>0.01</v>
      </c>
      <c r="G57" s="30">
        <f>C57</f>
        <v>0.01</v>
      </c>
      <c r="H57" s="30">
        <f>C57</f>
        <v>0.01</v>
      </c>
      <c r="I57" s="30">
        <f>C57</f>
        <v>0.01</v>
      </c>
      <c r="J57" s="30">
        <f>C57</f>
        <v>0.01</v>
      </c>
      <c r="K57" s="30">
        <f>C57</f>
        <v>0.01</v>
      </c>
      <c r="L57" s="30">
        <f>C57</f>
        <v>0.01</v>
      </c>
      <c r="M57" s="30">
        <f>C57</f>
        <v>0.01</v>
      </c>
    </row>
    <row r="58" spans="1:13" ht="12.75" x14ac:dyDescent="0.2">
      <c r="A58" s="24" t="s">
        <v>150</v>
      </c>
      <c r="B58" s="25"/>
      <c r="C58" s="25"/>
      <c r="D58" s="31">
        <f>D15</f>
        <v>72000</v>
      </c>
      <c r="E58" s="31">
        <f t="shared" ref="E58:M58" si="2">(1+E57)*D58</f>
        <v>72720</v>
      </c>
      <c r="F58" s="31">
        <f t="shared" si="2"/>
        <v>73447.199999999997</v>
      </c>
      <c r="G58" s="31">
        <f t="shared" si="2"/>
        <v>74181.671999999991</v>
      </c>
      <c r="H58" s="31">
        <f t="shared" si="2"/>
        <v>74923.488719999994</v>
      </c>
      <c r="I58" s="31">
        <f t="shared" si="2"/>
        <v>75672.723607199994</v>
      </c>
      <c r="J58" s="31">
        <f t="shared" si="2"/>
        <v>76429.450843271989</v>
      </c>
      <c r="K58" s="31">
        <f t="shared" si="2"/>
        <v>77193.745351704711</v>
      </c>
      <c r="L58" s="31">
        <f t="shared" si="2"/>
        <v>77965.682805221761</v>
      </c>
      <c r="M58" s="31">
        <f t="shared" si="2"/>
        <v>78745.339633273979</v>
      </c>
    </row>
    <row r="59" spans="1:13" ht="12.75" x14ac:dyDescent="0.2">
      <c r="A59" s="24" t="s">
        <v>35</v>
      </c>
      <c r="B59" s="25"/>
      <c r="C59" s="29">
        <f>D18/100</f>
        <v>0</v>
      </c>
      <c r="D59" s="31">
        <f>C59*D52</f>
        <v>0</v>
      </c>
      <c r="E59" s="31">
        <f>C59*E52</f>
        <v>0</v>
      </c>
      <c r="F59" s="31">
        <f>C59*F52</f>
        <v>0</v>
      </c>
      <c r="G59" s="31">
        <f>C59*G52</f>
        <v>0</v>
      </c>
      <c r="H59" s="31">
        <f>C59*H52</f>
        <v>0</v>
      </c>
      <c r="I59" s="31">
        <f>C59*I52</f>
        <v>0</v>
      </c>
      <c r="J59" s="31">
        <f>C59*J52</f>
        <v>0</v>
      </c>
      <c r="K59" s="31">
        <f>C59*K52</f>
        <v>0</v>
      </c>
      <c r="L59" s="31">
        <f>C59*L52</f>
        <v>0</v>
      </c>
      <c r="M59" s="31">
        <f>C59*M52</f>
        <v>0</v>
      </c>
    </row>
    <row r="60" spans="1:13" ht="12.75" x14ac:dyDescent="0.2">
      <c r="A60" s="24" t="s">
        <v>36</v>
      </c>
      <c r="B60" s="25"/>
      <c r="C60" s="29">
        <f>D19/100</f>
        <v>0</v>
      </c>
      <c r="D60" s="31">
        <f>C60*D52</f>
        <v>0</v>
      </c>
      <c r="E60" s="31">
        <f>C60*E52</f>
        <v>0</v>
      </c>
      <c r="F60" s="31">
        <f>C60*F52</f>
        <v>0</v>
      </c>
      <c r="G60" s="31">
        <f>C60*G52</f>
        <v>0</v>
      </c>
      <c r="H60" s="31">
        <f>C60*H52</f>
        <v>0</v>
      </c>
      <c r="I60" s="31">
        <f>C60*I52</f>
        <v>0</v>
      </c>
      <c r="J60" s="31">
        <f>C60*J52</f>
        <v>0</v>
      </c>
      <c r="K60" s="31">
        <f>C60*K52</f>
        <v>0</v>
      </c>
      <c r="L60" s="31">
        <f>C60*L52</f>
        <v>0</v>
      </c>
      <c r="M60" s="31">
        <f>C60*M52</f>
        <v>0</v>
      </c>
    </row>
    <row r="61" spans="1:13" ht="12.75" x14ac:dyDescent="0.2">
      <c r="A61" s="24" t="s">
        <v>37</v>
      </c>
      <c r="B61" s="25"/>
      <c r="C61" s="25"/>
      <c r="D61" s="31">
        <f t="shared" ref="D61:M61" si="3">SUM(D58:D60)</f>
        <v>72000</v>
      </c>
      <c r="E61" s="31">
        <f t="shared" si="3"/>
        <v>72720</v>
      </c>
      <c r="F61" s="31">
        <f t="shared" si="3"/>
        <v>73447.199999999997</v>
      </c>
      <c r="G61" s="31">
        <f t="shared" si="3"/>
        <v>74181.671999999991</v>
      </c>
      <c r="H61" s="31">
        <f t="shared" si="3"/>
        <v>74923.488719999994</v>
      </c>
      <c r="I61" s="31">
        <f t="shared" si="3"/>
        <v>75672.723607199994</v>
      </c>
      <c r="J61" s="31">
        <f t="shared" si="3"/>
        <v>76429.450843271989</v>
      </c>
      <c r="K61" s="31">
        <f t="shared" si="3"/>
        <v>77193.745351704711</v>
      </c>
      <c r="L61" s="31">
        <f t="shared" si="3"/>
        <v>77965.682805221761</v>
      </c>
      <c r="M61" s="31">
        <f t="shared" si="3"/>
        <v>78745.339633273979</v>
      </c>
    </row>
    <row r="62" spans="1:13" ht="12.75" x14ac:dyDescent="0.2">
      <c r="A62" s="24" t="s">
        <v>119</v>
      </c>
      <c r="B62" s="25"/>
      <c r="C62" s="25"/>
      <c r="D62" s="30">
        <f t="shared" ref="D62:M62" si="4">D61/D52</f>
        <v>0.291497975708502</v>
      </c>
      <c r="E62" s="30">
        <f t="shared" si="4"/>
        <v>0.28039329091960669</v>
      </c>
      <c r="F62" s="30">
        <f t="shared" si="4"/>
        <v>0.26971164174171691</v>
      </c>
      <c r="G62" s="30">
        <f t="shared" si="4"/>
        <v>0.25943691253250861</v>
      </c>
      <c r="H62" s="30">
        <f t="shared" si="4"/>
        <v>0.24955360157888926</v>
      </c>
      <c r="I62" s="30">
        <f t="shared" si="4"/>
        <v>0.24004679770921733</v>
      </c>
      <c r="J62" s="30">
        <f t="shared" si="4"/>
        <v>0.23090215779648518</v>
      </c>
      <c r="K62" s="30">
        <f t="shared" si="4"/>
        <v>0.2221058851185238</v>
      </c>
      <c r="L62" s="30">
        <f t="shared" si="4"/>
        <v>0.21364470854258005</v>
      </c>
      <c r="M62" s="30">
        <f t="shared" si="4"/>
        <v>0.20550586250286271</v>
      </c>
    </row>
    <row r="63" spans="1:13" ht="12.75" x14ac:dyDescent="0.2">
      <c r="A63" s="25"/>
      <c r="B63" s="25"/>
      <c r="C63" s="25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2.75" x14ac:dyDescent="0.2">
      <c r="A64" s="25"/>
      <c r="B64" s="25"/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ht="12.75" x14ac:dyDescent="0.2">
      <c r="A65" s="85" t="s">
        <v>38</v>
      </c>
      <c r="B65" s="86"/>
      <c r="C65" s="86"/>
      <c r="D65" s="57">
        <f t="shared" ref="D65:M65" si="5">D52-D61</f>
        <v>175000</v>
      </c>
      <c r="E65" s="57">
        <f t="shared" si="5"/>
        <v>186630</v>
      </c>
      <c r="F65" s="57">
        <f t="shared" si="5"/>
        <v>198870.3</v>
      </c>
      <c r="G65" s="57">
        <f t="shared" si="5"/>
        <v>211751.70300000001</v>
      </c>
      <c r="H65" s="57">
        <f t="shared" si="5"/>
        <v>225306.55503000002</v>
      </c>
      <c r="I65" s="57">
        <f t="shared" si="5"/>
        <v>239568.82233029997</v>
      </c>
      <c r="J65" s="57">
        <f t="shared" si="5"/>
        <v>254574.17239110306</v>
      </c>
      <c r="K65" s="57">
        <f t="shared" si="5"/>
        <v>270360.05904438911</v>
      </c>
      <c r="L65" s="57">
        <f t="shared" si="5"/>
        <v>286965.81181067677</v>
      </c>
      <c r="M65" s="57">
        <f t="shared" si="5"/>
        <v>304432.72971341945</v>
      </c>
    </row>
    <row r="66" spans="1:13" ht="12.75" x14ac:dyDescent="0.2">
      <c r="A66" s="25" t="s">
        <v>120</v>
      </c>
      <c r="B66" s="25"/>
      <c r="C66" s="25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2.75" x14ac:dyDescent="0.2">
      <c r="A67" s="25"/>
      <c r="B67" s="25"/>
      <c r="C67" s="25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ht="12.75" x14ac:dyDescent="0.2">
      <c r="A68" s="25"/>
      <c r="B68" s="25"/>
      <c r="C68" s="25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12.75" x14ac:dyDescent="0.2">
      <c r="A69" s="24" t="s">
        <v>39</v>
      </c>
      <c r="B69" s="25"/>
      <c r="C69" s="25"/>
      <c r="D69" s="27" t="s">
        <v>121</v>
      </c>
      <c r="E69" s="27" t="s">
        <v>97</v>
      </c>
      <c r="F69" s="27" t="s">
        <v>98</v>
      </c>
      <c r="G69" s="27" t="s">
        <v>99</v>
      </c>
      <c r="H69" s="27" t="s">
        <v>100</v>
      </c>
      <c r="I69" s="27" t="s">
        <v>101</v>
      </c>
      <c r="J69" s="27" t="s">
        <v>102</v>
      </c>
      <c r="K69" s="27" t="s">
        <v>103</v>
      </c>
      <c r="L69" s="27" t="s">
        <v>104</v>
      </c>
      <c r="M69" s="27" t="s">
        <v>105</v>
      </c>
    </row>
    <row r="70" spans="1:13" ht="12.75" x14ac:dyDescent="0.2">
      <c r="A70" s="25"/>
      <c r="B70" s="25"/>
      <c r="C70" s="25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2.75" x14ac:dyDescent="0.2">
      <c r="A71" s="24" t="s">
        <v>40</v>
      </c>
      <c r="B71" s="25"/>
      <c r="C71" s="25"/>
      <c r="D71" s="31">
        <f t="shared" ref="D71:M71" si="6">D65</f>
        <v>175000</v>
      </c>
      <c r="E71" s="31">
        <f t="shared" si="6"/>
        <v>186630</v>
      </c>
      <c r="F71" s="31">
        <f t="shared" si="6"/>
        <v>198870.3</v>
      </c>
      <c r="G71" s="31">
        <f t="shared" si="6"/>
        <v>211751.70300000001</v>
      </c>
      <c r="H71" s="31">
        <f t="shared" si="6"/>
        <v>225306.55503000002</v>
      </c>
      <c r="I71" s="31">
        <f t="shared" si="6"/>
        <v>239568.82233029997</v>
      </c>
      <c r="J71" s="31">
        <f t="shared" si="6"/>
        <v>254574.17239110306</v>
      </c>
      <c r="K71" s="31">
        <f t="shared" si="6"/>
        <v>270360.05904438911</v>
      </c>
      <c r="L71" s="31">
        <f t="shared" si="6"/>
        <v>286965.81181067677</v>
      </c>
      <c r="M71" s="31">
        <f t="shared" si="6"/>
        <v>304432.72971341945</v>
      </c>
    </row>
    <row r="72" spans="1:13" ht="13.5" thickBot="1" x14ac:dyDescent="0.25">
      <c r="A72" s="24" t="s">
        <v>41</v>
      </c>
      <c r="B72" s="25"/>
      <c r="C72" s="25"/>
      <c r="D72" s="31">
        <f>G43</f>
        <v>99759.503437559324</v>
      </c>
      <c r="E72" s="31">
        <f>G43</f>
        <v>99759.503437559324</v>
      </c>
      <c r="F72" s="31">
        <f>G43</f>
        <v>99759.503437559324</v>
      </c>
      <c r="G72" s="31">
        <f>G43</f>
        <v>99759.503437559324</v>
      </c>
      <c r="H72" s="31">
        <f>G43</f>
        <v>99759.503437559324</v>
      </c>
      <c r="I72" s="31">
        <f>G43</f>
        <v>99759.503437559324</v>
      </c>
      <c r="J72" s="31">
        <f>G43</f>
        <v>99759.503437559324</v>
      </c>
      <c r="K72" s="31">
        <f>G43</f>
        <v>99759.503437559324</v>
      </c>
      <c r="L72" s="31">
        <f>G43</f>
        <v>99759.503437559324</v>
      </c>
      <c r="M72" s="31">
        <f>G43</f>
        <v>99759.503437559324</v>
      </c>
    </row>
    <row r="73" spans="1:13" ht="13.5" thickBot="1" x14ac:dyDescent="0.25">
      <c r="A73" s="58" t="s">
        <v>39</v>
      </c>
      <c r="B73" s="59"/>
      <c r="C73" s="59"/>
      <c r="D73" s="60">
        <f t="shared" ref="D73:M73" si="7">D71-D72</f>
        <v>75240.496562440676</v>
      </c>
      <c r="E73" s="60">
        <f t="shared" si="7"/>
        <v>86870.496562440676</v>
      </c>
      <c r="F73" s="60">
        <f t="shared" si="7"/>
        <v>99110.796562440664</v>
      </c>
      <c r="G73" s="60">
        <f t="shared" si="7"/>
        <v>111992.19956244068</v>
      </c>
      <c r="H73" s="60">
        <f t="shared" si="7"/>
        <v>125547.05159244069</v>
      </c>
      <c r="I73" s="60">
        <f t="shared" si="7"/>
        <v>139809.31889274064</v>
      </c>
      <c r="J73" s="60">
        <f t="shared" si="7"/>
        <v>154814.66895354373</v>
      </c>
      <c r="K73" s="60">
        <f t="shared" si="7"/>
        <v>170600.55560682979</v>
      </c>
      <c r="L73" s="60">
        <f t="shared" si="7"/>
        <v>187206.30837311744</v>
      </c>
      <c r="M73" s="61">
        <f t="shared" si="7"/>
        <v>204673.22627586013</v>
      </c>
    </row>
    <row r="74" spans="1:13" ht="13.5" thickBot="1" x14ac:dyDescent="0.25">
      <c r="A74" s="62" t="s">
        <v>152</v>
      </c>
      <c r="B74" s="59"/>
      <c r="C74" s="59"/>
      <c r="D74" s="63">
        <f>D73/D4</f>
        <v>4.4259115624965102E-2</v>
      </c>
      <c r="E74" s="63">
        <f>E73/D4</f>
        <v>5.1100292095553342E-2</v>
      </c>
      <c r="F74" s="63">
        <f>F73/D4</f>
        <v>5.8300468566141565E-2</v>
      </c>
      <c r="G74" s="63">
        <f>G73/D4</f>
        <v>6.5877764448494525E-2</v>
      </c>
      <c r="H74" s="63">
        <f>H73/D4</f>
        <v>7.3851206819082763E-2</v>
      </c>
      <c r="I74" s="63">
        <f>I73/D4</f>
        <v>8.2240775819259204E-2</v>
      </c>
      <c r="J74" s="63">
        <f>J73/D4</f>
        <v>9.106745232561396E-2</v>
      </c>
      <c r="K74" s="63">
        <f>K73/D4</f>
        <v>0.10035326800401752</v>
      </c>
      <c r="L74" s="63">
        <f>L73/D4</f>
        <v>0.11012135786653968</v>
      </c>
      <c r="M74" s="64">
        <f>M73/D4</f>
        <v>0.12039601545638831</v>
      </c>
    </row>
    <row r="75" spans="1:13" ht="12.75" x14ac:dyDescent="0.2">
      <c r="A75" s="121" t="s">
        <v>42</v>
      </c>
      <c r="B75" s="122"/>
      <c r="C75" s="122"/>
      <c r="D75" s="96" t="s">
        <v>121</v>
      </c>
      <c r="E75" s="96" t="s">
        <v>97</v>
      </c>
      <c r="F75" s="96" t="s">
        <v>98</v>
      </c>
      <c r="G75" s="96" t="s">
        <v>99</v>
      </c>
      <c r="H75" s="96" t="s">
        <v>100</v>
      </c>
      <c r="I75" s="96" t="s">
        <v>101</v>
      </c>
      <c r="J75" s="96" t="s">
        <v>102</v>
      </c>
      <c r="K75" s="96" t="s">
        <v>103</v>
      </c>
      <c r="L75" s="96" t="s">
        <v>104</v>
      </c>
      <c r="M75" s="96" t="s">
        <v>105</v>
      </c>
    </row>
    <row r="76" spans="1:13" ht="12.75" x14ac:dyDescent="0.2">
      <c r="A76" s="95"/>
      <c r="B76" s="95"/>
      <c r="C76" s="95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 ht="12.75" x14ac:dyDescent="0.2">
      <c r="A77" s="94" t="s">
        <v>40</v>
      </c>
      <c r="B77" s="95"/>
      <c r="C77" s="95"/>
      <c r="D77" s="98">
        <f t="shared" ref="D77:M77" si="8">D65</f>
        <v>175000</v>
      </c>
      <c r="E77" s="98">
        <f t="shared" si="8"/>
        <v>186630</v>
      </c>
      <c r="F77" s="98">
        <f t="shared" si="8"/>
        <v>198870.3</v>
      </c>
      <c r="G77" s="98">
        <f t="shared" si="8"/>
        <v>211751.70300000001</v>
      </c>
      <c r="H77" s="98">
        <f t="shared" si="8"/>
        <v>225306.55503000002</v>
      </c>
      <c r="I77" s="98">
        <f t="shared" si="8"/>
        <v>239568.82233029997</v>
      </c>
      <c r="J77" s="98">
        <f t="shared" si="8"/>
        <v>254574.17239110306</v>
      </c>
      <c r="K77" s="98">
        <f t="shared" si="8"/>
        <v>270360.05904438911</v>
      </c>
      <c r="L77" s="98">
        <f t="shared" si="8"/>
        <v>286965.81181067677</v>
      </c>
      <c r="M77" s="98">
        <f t="shared" si="8"/>
        <v>304432.72971341945</v>
      </c>
    </row>
    <row r="78" spans="1:13" ht="12.75" x14ac:dyDescent="0.2">
      <c r="A78" s="94" t="s">
        <v>43</v>
      </c>
      <c r="B78" s="95"/>
      <c r="C78" s="95"/>
      <c r="D78" s="98">
        <f t="shared" ref="D78:M78" si="9">D72-D93</f>
        <v>70847.66004854624</v>
      </c>
      <c r="E78" s="98">
        <f t="shared" si="9"/>
        <v>69609.712530189863</v>
      </c>
      <c r="F78" s="98">
        <f t="shared" si="9"/>
        <v>68318.758566081728</v>
      </c>
      <c r="G78" s="98">
        <f t="shared" si="9"/>
        <v>66972.528525844653</v>
      </c>
      <c r="H78" s="98">
        <f t="shared" si="9"/>
        <v>65568.655598054378</v>
      </c>
      <c r="I78" s="98">
        <f t="shared" si="9"/>
        <v>64104.671629135701</v>
      </c>
      <c r="J78" s="98">
        <f t="shared" si="9"/>
        <v>62578.002784097305</v>
      </c>
      <c r="K78" s="98">
        <f t="shared" si="9"/>
        <v>60985.965021461452</v>
      </c>
      <c r="L78" s="98">
        <f t="shared" si="9"/>
        <v>59325.759374445508</v>
      </c>
      <c r="M78" s="98">
        <f t="shared" si="9"/>
        <v>57594.46703008443</v>
      </c>
    </row>
    <row r="79" spans="1:13" ht="12.75" x14ac:dyDescent="0.2">
      <c r="A79" s="94" t="s">
        <v>44</v>
      </c>
      <c r="B79" s="95"/>
      <c r="C79" s="95"/>
      <c r="D79" s="98">
        <f>L43</f>
        <v>15909.09090909091</v>
      </c>
      <c r="E79" s="98">
        <f t="shared" ref="E79:M79" si="10">D79</f>
        <v>15909.09090909091</v>
      </c>
      <c r="F79" s="98">
        <f t="shared" si="10"/>
        <v>15909.09090909091</v>
      </c>
      <c r="G79" s="98">
        <f t="shared" si="10"/>
        <v>15909.09090909091</v>
      </c>
      <c r="H79" s="98">
        <f t="shared" si="10"/>
        <v>15909.09090909091</v>
      </c>
      <c r="I79" s="98">
        <f t="shared" si="10"/>
        <v>15909.09090909091</v>
      </c>
      <c r="J79" s="98">
        <f t="shared" si="10"/>
        <v>15909.09090909091</v>
      </c>
      <c r="K79" s="98">
        <f t="shared" si="10"/>
        <v>15909.09090909091</v>
      </c>
      <c r="L79" s="98">
        <f t="shared" si="10"/>
        <v>15909.09090909091</v>
      </c>
      <c r="M79" s="98">
        <f t="shared" si="10"/>
        <v>15909.09090909091</v>
      </c>
    </row>
    <row r="80" spans="1:13" ht="12.75" x14ac:dyDescent="0.2">
      <c r="A80" s="94" t="s">
        <v>45</v>
      </c>
      <c r="B80" s="95"/>
      <c r="C80" s="95"/>
      <c r="D80" s="98">
        <f t="shared" ref="D80:M80" si="11">D77-D78-D79</f>
        <v>88243.249042362848</v>
      </c>
      <c r="E80" s="98">
        <f t="shared" si="11"/>
        <v>101111.19656071923</v>
      </c>
      <c r="F80" s="98">
        <f t="shared" si="11"/>
        <v>114642.45052482735</v>
      </c>
      <c r="G80" s="98">
        <f t="shared" si="11"/>
        <v>128870.08356506444</v>
      </c>
      <c r="H80" s="98">
        <f t="shared" si="11"/>
        <v>143828.80852285473</v>
      </c>
      <c r="I80" s="98">
        <f t="shared" si="11"/>
        <v>159555.05979207336</v>
      </c>
      <c r="J80" s="98">
        <f t="shared" si="11"/>
        <v>176087.07869791484</v>
      </c>
      <c r="K80" s="98">
        <f t="shared" si="11"/>
        <v>193465.00311383675</v>
      </c>
      <c r="L80" s="98">
        <f t="shared" si="11"/>
        <v>211730.96152714035</v>
      </c>
      <c r="M80" s="98">
        <f t="shared" si="11"/>
        <v>230929.17177424411</v>
      </c>
    </row>
    <row r="81" spans="1:13" ht="12.75" x14ac:dyDescent="0.2">
      <c r="A81" s="94" t="s">
        <v>46</v>
      </c>
      <c r="B81" s="95"/>
      <c r="C81" s="99">
        <f>D29/100</f>
        <v>0.3</v>
      </c>
      <c r="D81" s="100">
        <f>C81</f>
        <v>0.3</v>
      </c>
      <c r="E81" s="100">
        <f>C81</f>
        <v>0.3</v>
      </c>
      <c r="F81" s="100">
        <f>C81</f>
        <v>0.3</v>
      </c>
      <c r="G81" s="100">
        <f>C81</f>
        <v>0.3</v>
      </c>
      <c r="H81" s="100">
        <f>C81</f>
        <v>0.3</v>
      </c>
      <c r="I81" s="100">
        <f>C81</f>
        <v>0.3</v>
      </c>
      <c r="J81" s="100">
        <f>C81</f>
        <v>0.3</v>
      </c>
      <c r="K81" s="100">
        <f>C81</f>
        <v>0.3</v>
      </c>
      <c r="L81" s="100">
        <f>C81</f>
        <v>0.3</v>
      </c>
      <c r="M81" s="100">
        <f>C81</f>
        <v>0.3</v>
      </c>
    </row>
    <row r="82" spans="1:13" ht="12.75" x14ac:dyDescent="0.2">
      <c r="A82" s="94" t="s">
        <v>42</v>
      </c>
      <c r="B82" s="95"/>
      <c r="C82" s="95"/>
      <c r="D82" s="98">
        <f t="shared" ref="D82:M82" si="12">D80*D81*-1</f>
        <v>-26472.974712708852</v>
      </c>
      <c r="E82" s="98">
        <f t="shared" si="12"/>
        <v>-30333.358968215765</v>
      </c>
      <c r="F82" s="98">
        <f t="shared" si="12"/>
        <v>-34392.735157448202</v>
      </c>
      <c r="G82" s="98">
        <f t="shared" si="12"/>
        <v>-38661.025069519332</v>
      </c>
      <c r="H82" s="98">
        <f t="shared" si="12"/>
        <v>-43148.642556856415</v>
      </c>
      <c r="I82" s="98">
        <f t="shared" si="12"/>
        <v>-47866.517937622004</v>
      </c>
      <c r="J82" s="98">
        <f t="shared" si="12"/>
        <v>-52826.123609374452</v>
      </c>
      <c r="K82" s="98">
        <f t="shared" si="12"/>
        <v>-58039.500934151023</v>
      </c>
      <c r="L82" s="98">
        <f t="shared" si="12"/>
        <v>-63519.288458142102</v>
      </c>
      <c r="M82" s="98">
        <f t="shared" si="12"/>
        <v>-69278.751532273236</v>
      </c>
    </row>
    <row r="83" spans="1:13" ht="12.75" x14ac:dyDescent="0.2">
      <c r="A83" s="95"/>
      <c r="B83" s="95"/>
      <c r="C83" s="95"/>
      <c r="D83" s="97"/>
      <c r="E83" s="97"/>
      <c r="F83" s="97"/>
      <c r="G83" s="97"/>
      <c r="H83" s="97"/>
      <c r="I83" s="97"/>
      <c r="J83" s="97"/>
      <c r="K83" s="97"/>
      <c r="L83" s="97"/>
      <c r="M83" s="97"/>
    </row>
    <row r="84" spans="1:13" ht="12.75" x14ac:dyDescent="0.2">
      <c r="A84" s="95"/>
      <c r="B84" s="95"/>
      <c r="C84" s="95"/>
      <c r="D84" s="97"/>
      <c r="E84" s="97"/>
      <c r="F84" s="97"/>
      <c r="G84" s="97"/>
      <c r="H84" s="97"/>
      <c r="I84" s="97"/>
      <c r="J84" s="97"/>
      <c r="K84" s="97"/>
      <c r="L84" s="97"/>
      <c r="M84" s="97"/>
    </row>
    <row r="85" spans="1:13" ht="12.75" x14ac:dyDescent="0.2">
      <c r="A85" s="95"/>
      <c r="B85" s="95"/>
      <c r="C85" s="95"/>
      <c r="D85" s="97"/>
      <c r="E85" s="97"/>
      <c r="F85" s="97"/>
      <c r="G85" s="97"/>
      <c r="H85" s="97"/>
      <c r="I85" s="97"/>
      <c r="J85" s="97"/>
      <c r="K85" s="97"/>
      <c r="L85" s="97"/>
      <c r="M85" s="97"/>
    </row>
    <row r="86" spans="1:13" ht="12.75" x14ac:dyDescent="0.2">
      <c r="A86" s="121" t="s">
        <v>86</v>
      </c>
      <c r="B86" s="122"/>
      <c r="C86" s="122"/>
      <c r="D86" s="96" t="s">
        <v>121</v>
      </c>
      <c r="E86" s="96" t="s">
        <v>97</v>
      </c>
      <c r="F86" s="96" t="s">
        <v>98</v>
      </c>
      <c r="G86" s="96" t="s">
        <v>99</v>
      </c>
      <c r="H86" s="96" t="s">
        <v>100</v>
      </c>
      <c r="I86" s="96" t="s">
        <v>101</v>
      </c>
      <c r="J86" s="96" t="s">
        <v>102</v>
      </c>
      <c r="K86" s="96" t="s">
        <v>103</v>
      </c>
      <c r="L86" s="96" t="s">
        <v>104</v>
      </c>
      <c r="M86" s="96" t="s">
        <v>105</v>
      </c>
    </row>
    <row r="87" spans="1:13" ht="12.75" x14ac:dyDescent="0.2">
      <c r="A87" s="95"/>
      <c r="B87" s="95"/>
      <c r="C87" s="95"/>
      <c r="D87" s="97"/>
      <c r="E87" s="97"/>
      <c r="F87" s="97"/>
      <c r="G87" s="97"/>
      <c r="H87" s="97"/>
      <c r="I87" s="97"/>
      <c r="J87" s="97"/>
      <c r="K87" s="97"/>
      <c r="L87" s="97"/>
      <c r="M87" s="97"/>
    </row>
    <row r="88" spans="1:13" ht="12.75" x14ac:dyDescent="0.2">
      <c r="A88" s="94" t="s">
        <v>125</v>
      </c>
      <c r="B88" s="95"/>
      <c r="C88" s="95"/>
      <c r="D88" s="98">
        <f>B42</f>
        <v>1700000</v>
      </c>
      <c r="E88" s="98">
        <f t="shared" ref="E88:M88" si="13">D92</f>
        <v>1671088.1566109869</v>
      </c>
      <c r="F88" s="98">
        <f t="shared" si="13"/>
        <v>1640938.3657036175</v>
      </c>
      <c r="G88" s="98">
        <f t="shared" si="13"/>
        <v>1609497.6208321399</v>
      </c>
      <c r="H88" s="98">
        <f t="shared" si="13"/>
        <v>1576710.6459204252</v>
      </c>
      <c r="I88" s="98">
        <f t="shared" si="13"/>
        <v>1542519.7980809202</v>
      </c>
      <c r="J88" s="98">
        <f t="shared" si="13"/>
        <v>1506864.9662724966</v>
      </c>
      <c r="K88" s="98">
        <f t="shared" si="13"/>
        <v>1469683.4656190346</v>
      </c>
      <c r="L88" s="98">
        <f t="shared" si="13"/>
        <v>1430909.9272029367</v>
      </c>
      <c r="M88" s="98">
        <f t="shared" si="13"/>
        <v>1390476.1831398229</v>
      </c>
    </row>
    <row r="89" spans="1:13" ht="12.75" hidden="1" x14ac:dyDescent="0.2">
      <c r="A89" s="94" t="s">
        <v>47</v>
      </c>
      <c r="B89" s="95"/>
      <c r="C89" s="95"/>
      <c r="D89" s="101">
        <f>D88*(1+G40/12)^12</f>
        <v>1772790.6122376453</v>
      </c>
      <c r="E89" s="101">
        <f>D88*(1+G40/12)^24</f>
        <v>1848697.9734340734</v>
      </c>
      <c r="F89" s="101">
        <f>D88*(1+G40/12)^36</f>
        <v>1927855.5365686384</v>
      </c>
      <c r="G89" s="101">
        <f>D88*(1+G40/12)^48</f>
        <v>2010402.4688113234</v>
      </c>
      <c r="H89" s="101">
        <f>D88*(1+G40/12)^60</f>
        <v>2096483.896193</v>
      </c>
      <c r="I89" s="101">
        <f>D88*(1+G40/12)^72</f>
        <v>2186251.158751972</v>
      </c>
      <c r="J89" s="101">
        <f>D88*(1+G40/12)^84</f>
        <v>2279862.076605394</v>
      </c>
      <c r="K89" s="101">
        <f>D88*(1+G40/12)^96</f>
        <v>2377481.2274133326</v>
      </c>
      <c r="L89" s="101">
        <f>D88*(1+G40/12)^108</f>
        <v>2479280.2357232883</v>
      </c>
      <c r="M89" s="101">
        <f>D88*(1+G40/12)^120</f>
        <v>2585438.0747038713</v>
      </c>
    </row>
    <row r="90" spans="1:13" ht="12.75" hidden="1" x14ac:dyDescent="0.2">
      <c r="A90" s="94" t="s">
        <v>48</v>
      </c>
      <c r="B90" s="95"/>
      <c r="C90" s="95"/>
      <c r="D90" s="102">
        <f>(1+G40/12)^12-1</f>
        <v>4.2818007198614838E-2</v>
      </c>
      <c r="E90" s="102">
        <f>(1+G40/12)^24-1</f>
        <v>8.7469396137690225E-2</v>
      </c>
      <c r="F90" s="102">
        <f>(1+G40/12)^36-1</f>
        <v>0.13403266856978724</v>
      </c>
      <c r="G90" s="102">
        <f>(1+G40/12)^48-1</f>
        <v>0.18258968753607263</v>
      </c>
      <c r="H90" s="102">
        <f>(1+G40/12)^60-1</f>
        <v>0.23322582129000002</v>
      </c>
      <c r="I90" s="102">
        <f>(1+G40/12)^72-1</f>
        <v>0.28603009338351293</v>
      </c>
      <c r="J90" s="102">
        <f>(1+G40/12)^84-1</f>
        <v>0.34109533917964341</v>
      </c>
      <c r="K90" s="102">
        <f>(1+G40/12)^96-1</f>
        <v>0.39851836906666627</v>
      </c>
      <c r="L90" s="102">
        <f>(1+G40/12)^108-1</f>
        <v>0.45840013866075791</v>
      </c>
      <c r="M90" s="102">
        <f>(1+G40/12)^120-1</f>
        <v>0.52084592629639492</v>
      </c>
    </row>
    <row r="91" spans="1:13" ht="12.75" hidden="1" x14ac:dyDescent="0.2">
      <c r="A91" s="94" t="s">
        <v>49</v>
      </c>
      <c r="B91" s="95"/>
      <c r="C91" s="95"/>
      <c r="D91" s="101">
        <f>(G42)/(G40/12)*(D90)</f>
        <v>101702.4556266585</v>
      </c>
      <c r="E91" s="101">
        <f>(G42)/(G40/12)*(E90)</f>
        <v>207759.60773045587</v>
      </c>
      <c r="F91" s="101">
        <f>(G42)/(G40/12)*(F90)</f>
        <v>318357.91573649854</v>
      </c>
      <c r="G91" s="101">
        <f>(G42)/(G40/12)*(G90)</f>
        <v>433691.8228908981</v>
      </c>
      <c r="H91" s="101">
        <f>(G42)/(G40/12)*(H90)</f>
        <v>553964.0981120799</v>
      </c>
      <c r="I91" s="101">
        <f>(G42)/(G40/12)*(I90)</f>
        <v>679386.19247947552</v>
      </c>
      <c r="J91" s="101">
        <f>(G42)/(G40/12)*(J90)</f>
        <v>810178.61098635953</v>
      </c>
      <c r="K91" s="101">
        <f>(G42)/(G40/12)*(K90)</f>
        <v>946571.30021039594</v>
      </c>
      <c r="L91" s="101">
        <f>(G42)/(G40/12)*(L90)</f>
        <v>1088804.0525834654</v>
      </c>
      <c r="M91" s="101">
        <f>(G42)/(G40/12)*(M90)</f>
        <v>1237126.9279715233</v>
      </c>
    </row>
    <row r="92" spans="1:13" ht="13.5" thickBot="1" x14ac:dyDescent="0.25">
      <c r="A92" s="94" t="s">
        <v>124</v>
      </c>
      <c r="B92" s="95"/>
      <c r="C92" s="95"/>
      <c r="D92" s="98">
        <f t="shared" ref="D92:M92" si="14">D89-D91</f>
        <v>1671088.1566109869</v>
      </c>
      <c r="E92" s="98">
        <f t="shared" si="14"/>
        <v>1640938.3657036175</v>
      </c>
      <c r="F92" s="98">
        <f t="shared" si="14"/>
        <v>1609497.6208321399</v>
      </c>
      <c r="G92" s="98">
        <f t="shared" si="14"/>
        <v>1576710.6459204252</v>
      </c>
      <c r="H92" s="98">
        <f t="shared" si="14"/>
        <v>1542519.7980809202</v>
      </c>
      <c r="I92" s="98">
        <f t="shared" si="14"/>
        <v>1506864.9662724966</v>
      </c>
      <c r="J92" s="98">
        <f t="shared" si="14"/>
        <v>1469683.4656190346</v>
      </c>
      <c r="K92" s="98">
        <f t="shared" si="14"/>
        <v>1430909.9272029367</v>
      </c>
      <c r="L92" s="98">
        <f t="shared" si="14"/>
        <v>1390476.1831398229</v>
      </c>
      <c r="M92" s="98">
        <f t="shared" si="14"/>
        <v>1348311.146732348</v>
      </c>
    </row>
    <row r="93" spans="1:13" ht="13.5" thickBot="1" x14ac:dyDescent="0.25">
      <c r="A93" s="32" t="s">
        <v>87</v>
      </c>
      <c r="B93" s="33"/>
      <c r="C93" s="33"/>
      <c r="D93" s="39">
        <f t="shared" ref="D93:M93" si="15">D88-D92</f>
        <v>28911.843389013084</v>
      </c>
      <c r="E93" s="39">
        <f t="shared" si="15"/>
        <v>30149.790907369461</v>
      </c>
      <c r="F93" s="39">
        <f t="shared" si="15"/>
        <v>31440.744871477596</v>
      </c>
      <c r="G93" s="39">
        <f t="shared" si="15"/>
        <v>32786.974911714671</v>
      </c>
      <c r="H93" s="39">
        <f t="shared" si="15"/>
        <v>34190.847839504946</v>
      </c>
      <c r="I93" s="39">
        <f t="shared" si="15"/>
        <v>35654.831808423623</v>
      </c>
      <c r="J93" s="39">
        <f t="shared" si="15"/>
        <v>37181.500653462019</v>
      </c>
      <c r="K93" s="39">
        <f t="shared" si="15"/>
        <v>38773.538416097872</v>
      </c>
      <c r="L93" s="39">
        <f t="shared" si="15"/>
        <v>40433.744063113816</v>
      </c>
      <c r="M93" s="40">
        <f t="shared" si="15"/>
        <v>42165.036407474894</v>
      </c>
    </row>
    <row r="94" spans="1:13" ht="13.5" thickBot="1" x14ac:dyDescent="0.25">
      <c r="A94" s="35" t="s">
        <v>160</v>
      </c>
      <c r="B94" s="33"/>
      <c r="C94" s="33"/>
      <c r="D94" s="39">
        <f t="shared" ref="D94:M94" si="16">D73+D93</f>
        <v>104152.33995145376</v>
      </c>
      <c r="E94" s="39">
        <f t="shared" si="16"/>
        <v>117020.28746981014</v>
      </c>
      <c r="F94" s="39">
        <f t="shared" si="16"/>
        <v>130551.54143391826</v>
      </c>
      <c r="G94" s="39">
        <f t="shared" si="16"/>
        <v>144779.17447415536</v>
      </c>
      <c r="H94" s="39">
        <f t="shared" si="16"/>
        <v>159737.89943194564</v>
      </c>
      <c r="I94" s="39">
        <f t="shared" si="16"/>
        <v>175464.15070116427</v>
      </c>
      <c r="J94" s="39">
        <f t="shared" si="16"/>
        <v>191996.16960700575</v>
      </c>
      <c r="K94" s="39">
        <f t="shared" si="16"/>
        <v>209374.09402292766</v>
      </c>
      <c r="L94" s="39">
        <f t="shared" si="16"/>
        <v>227640.05243623126</v>
      </c>
      <c r="M94" s="40">
        <f t="shared" si="16"/>
        <v>246838.26268333502</v>
      </c>
    </row>
    <row r="95" spans="1:13" ht="12.75" x14ac:dyDescent="0.2">
      <c r="A95" s="123" t="s">
        <v>123</v>
      </c>
      <c r="B95" s="124"/>
      <c r="C95" s="124"/>
      <c r="D95" s="89" t="s">
        <v>121</v>
      </c>
      <c r="E95" s="89" t="s">
        <v>97</v>
      </c>
      <c r="F95" s="89" t="s">
        <v>98</v>
      </c>
      <c r="G95" s="89" t="s">
        <v>99</v>
      </c>
      <c r="H95" s="89" t="s">
        <v>100</v>
      </c>
      <c r="I95" s="89" t="s">
        <v>101</v>
      </c>
      <c r="J95" s="89" t="s">
        <v>102</v>
      </c>
      <c r="K95" s="89" t="s">
        <v>103</v>
      </c>
      <c r="L95" s="89" t="s">
        <v>104</v>
      </c>
      <c r="M95" s="89" t="s">
        <v>105</v>
      </c>
    </row>
    <row r="96" spans="1:13" ht="12.75" x14ac:dyDescent="0.2">
      <c r="A96" s="88"/>
      <c r="B96" s="88"/>
      <c r="C96" s="88"/>
      <c r="D96" s="90"/>
      <c r="E96" s="90"/>
      <c r="F96" s="90"/>
      <c r="G96" s="90"/>
      <c r="H96" s="90"/>
      <c r="I96" s="90"/>
      <c r="J96" s="90"/>
      <c r="K96" s="90"/>
      <c r="L96" s="90"/>
      <c r="M96" s="90"/>
    </row>
    <row r="97" spans="1:15" ht="12.75" x14ac:dyDescent="0.2">
      <c r="A97" s="87" t="s">
        <v>126</v>
      </c>
      <c r="B97" s="88"/>
      <c r="C97" s="92">
        <f>D28/100</f>
        <v>0.05</v>
      </c>
      <c r="D97" s="93">
        <f>C97</f>
        <v>0.05</v>
      </c>
      <c r="E97" s="93">
        <f>C97</f>
        <v>0.05</v>
      </c>
      <c r="F97" s="93">
        <f>C97</f>
        <v>0.05</v>
      </c>
      <c r="G97" s="93">
        <f>C97</f>
        <v>0.05</v>
      </c>
      <c r="H97" s="93">
        <f>C97</f>
        <v>0.05</v>
      </c>
      <c r="I97" s="93">
        <f>C97</f>
        <v>0.05</v>
      </c>
      <c r="J97" s="93">
        <f>C97</f>
        <v>0.05</v>
      </c>
      <c r="K97" s="93">
        <f>C97</f>
        <v>0.05</v>
      </c>
      <c r="L97" s="93">
        <f>C97</f>
        <v>0.05</v>
      </c>
      <c r="M97" s="93">
        <f>C97</f>
        <v>0.05</v>
      </c>
    </row>
    <row r="98" spans="1:15" ht="12.75" x14ac:dyDescent="0.2">
      <c r="A98" s="87" t="s">
        <v>93</v>
      </c>
      <c r="B98" s="88"/>
      <c r="C98" s="88"/>
      <c r="D98" s="91">
        <f>B40</f>
        <v>3400000</v>
      </c>
      <c r="E98" s="91">
        <f t="shared" ref="E98:M98" si="17">D99</f>
        <v>3570000</v>
      </c>
      <c r="F98" s="91">
        <f t="shared" si="17"/>
        <v>3748500</v>
      </c>
      <c r="G98" s="91">
        <f t="shared" si="17"/>
        <v>3935925</v>
      </c>
      <c r="H98" s="91">
        <f t="shared" si="17"/>
        <v>4132721.25</v>
      </c>
      <c r="I98" s="91">
        <f t="shared" si="17"/>
        <v>4339357.3125</v>
      </c>
      <c r="J98" s="91">
        <f t="shared" si="17"/>
        <v>4556325.1781250006</v>
      </c>
      <c r="K98" s="91">
        <f t="shared" si="17"/>
        <v>4784141.4370312504</v>
      </c>
      <c r="L98" s="91">
        <f t="shared" si="17"/>
        <v>5023348.5088828132</v>
      </c>
      <c r="M98" s="91">
        <f t="shared" si="17"/>
        <v>5274515.9343269542</v>
      </c>
    </row>
    <row r="99" spans="1:15" ht="13.5" thickBot="1" x14ac:dyDescent="0.25">
      <c r="A99" s="87" t="s">
        <v>50</v>
      </c>
      <c r="B99" s="88"/>
      <c r="C99" s="88"/>
      <c r="D99" s="91">
        <f t="shared" ref="D99:M99" si="18">(1+D97)*D98</f>
        <v>3570000</v>
      </c>
      <c r="E99" s="91">
        <f t="shared" si="18"/>
        <v>3748500</v>
      </c>
      <c r="F99" s="91">
        <f t="shared" si="18"/>
        <v>3935925</v>
      </c>
      <c r="G99" s="91">
        <f t="shared" si="18"/>
        <v>4132721.25</v>
      </c>
      <c r="H99" s="91">
        <f t="shared" si="18"/>
        <v>4339357.3125</v>
      </c>
      <c r="I99" s="91">
        <f t="shared" si="18"/>
        <v>4556325.1781250006</v>
      </c>
      <c r="J99" s="91">
        <f t="shared" si="18"/>
        <v>4784141.4370312504</v>
      </c>
      <c r="K99" s="91">
        <f t="shared" si="18"/>
        <v>5023348.5088828132</v>
      </c>
      <c r="L99" s="91">
        <f t="shared" si="18"/>
        <v>5274515.9343269542</v>
      </c>
      <c r="M99" s="91">
        <f t="shared" si="18"/>
        <v>5538241.7310433025</v>
      </c>
    </row>
    <row r="100" spans="1:15" ht="13.5" thickBot="1" x14ac:dyDescent="0.25">
      <c r="A100" s="58" t="s">
        <v>127</v>
      </c>
      <c r="B100" s="59"/>
      <c r="C100" s="59"/>
      <c r="D100" s="128">
        <f t="shared" ref="D100:M100" si="19">D99-D98</f>
        <v>170000</v>
      </c>
      <c r="E100" s="128">
        <f t="shared" si="19"/>
        <v>178500</v>
      </c>
      <c r="F100" s="128">
        <f t="shared" si="19"/>
        <v>187425</v>
      </c>
      <c r="G100" s="128">
        <f t="shared" si="19"/>
        <v>196796.25</v>
      </c>
      <c r="H100" s="128">
        <f t="shared" si="19"/>
        <v>206636.0625</v>
      </c>
      <c r="I100" s="128">
        <f t="shared" si="19"/>
        <v>216967.86562500056</v>
      </c>
      <c r="J100" s="128">
        <f t="shared" si="19"/>
        <v>227816.25890624989</v>
      </c>
      <c r="K100" s="128">
        <f t="shared" si="19"/>
        <v>239207.07185156271</v>
      </c>
      <c r="L100" s="128">
        <f t="shared" si="19"/>
        <v>251167.42544414103</v>
      </c>
      <c r="M100" s="129">
        <f t="shared" si="19"/>
        <v>263725.79671634827</v>
      </c>
    </row>
    <row r="101" spans="1:15" ht="12.75" x14ac:dyDescent="0.2">
      <c r="A101" s="103"/>
      <c r="B101" s="103"/>
      <c r="C101" s="103"/>
      <c r="D101" s="104"/>
      <c r="E101" s="105" t="s">
        <v>88</v>
      </c>
      <c r="F101" s="104"/>
      <c r="G101" s="104"/>
      <c r="H101" s="104"/>
      <c r="I101" s="104"/>
      <c r="J101" s="104"/>
      <c r="K101" s="104"/>
      <c r="L101" s="106" t="s">
        <v>143</v>
      </c>
      <c r="M101" s="104"/>
    </row>
    <row r="102" spans="1:15" ht="12.75" x14ac:dyDescent="0.2">
      <c r="A102" s="103"/>
      <c r="B102" s="103"/>
      <c r="C102" s="103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5" ht="12.75" x14ac:dyDescent="0.2">
      <c r="A103" s="105" t="s">
        <v>128</v>
      </c>
      <c r="B103" s="103"/>
      <c r="C103" s="103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5" ht="12.75" x14ac:dyDescent="0.2">
      <c r="A104" s="103"/>
      <c r="B104" s="103"/>
      <c r="C104" s="103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5" ht="12.75" x14ac:dyDescent="0.2">
      <c r="A105" s="103"/>
      <c r="B105" s="103"/>
      <c r="C105" s="103"/>
      <c r="D105" s="107" t="s">
        <v>121</v>
      </c>
      <c r="E105" s="107" t="s">
        <v>97</v>
      </c>
      <c r="F105" s="107" t="s">
        <v>98</v>
      </c>
      <c r="G105" s="107" t="s">
        <v>99</v>
      </c>
      <c r="H105" s="107" t="s">
        <v>100</v>
      </c>
      <c r="I105" s="107" t="s">
        <v>101</v>
      </c>
      <c r="J105" s="107" t="s">
        <v>102</v>
      </c>
      <c r="K105" s="107" t="s">
        <v>103</v>
      </c>
      <c r="L105" s="107" t="s">
        <v>104</v>
      </c>
      <c r="M105" s="107" t="s">
        <v>105</v>
      </c>
    </row>
    <row r="106" spans="1:15" ht="12.75" x14ac:dyDescent="0.2">
      <c r="A106" s="103"/>
      <c r="B106" s="103"/>
      <c r="C106" s="103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5" ht="12.75" x14ac:dyDescent="0.2">
      <c r="A107" s="105" t="s">
        <v>51</v>
      </c>
      <c r="B107" s="103"/>
      <c r="C107" s="103"/>
      <c r="D107" s="108">
        <f t="shared" ref="D107:M107" si="20">D73</f>
        <v>75240.496562440676</v>
      </c>
      <c r="E107" s="108">
        <f t="shared" si="20"/>
        <v>86870.496562440676</v>
      </c>
      <c r="F107" s="108">
        <f t="shared" si="20"/>
        <v>99110.796562440664</v>
      </c>
      <c r="G107" s="108">
        <f t="shared" si="20"/>
        <v>111992.19956244068</v>
      </c>
      <c r="H107" s="108">
        <f t="shared" si="20"/>
        <v>125547.05159244069</v>
      </c>
      <c r="I107" s="108">
        <f t="shared" si="20"/>
        <v>139809.31889274064</v>
      </c>
      <c r="J107" s="108">
        <f t="shared" si="20"/>
        <v>154814.66895354373</v>
      </c>
      <c r="K107" s="108">
        <f t="shared" si="20"/>
        <v>170600.55560682979</v>
      </c>
      <c r="L107" s="108">
        <f t="shared" si="20"/>
        <v>187206.30837311744</v>
      </c>
      <c r="M107" s="108">
        <f t="shared" si="20"/>
        <v>204673.22627586013</v>
      </c>
      <c r="O107" s="34"/>
    </row>
    <row r="108" spans="1:15" ht="12.75" x14ac:dyDescent="0.2">
      <c r="A108" s="105" t="s">
        <v>52</v>
      </c>
      <c r="B108" s="103"/>
      <c r="C108" s="103"/>
      <c r="D108" s="108">
        <f t="shared" ref="D108:M108" si="21">D82</f>
        <v>-26472.974712708852</v>
      </c>
      <c r="E108" s="108">
        <f t="shared" si="21"/>
        <v>-30333.358968215765</v>
      </c>
      <c r="F108" s="108">
        <f t="shared" si="21"/>
        <v>-34392.735157448202</v>
      </c>
      <c r="G108" s="108">
        <f t="shared" si="21"/>
        <v>-38661.025069519332</v>
      </c>
      <c r="H108" s="108">
        <f t="shared" si="21"/>
        <v>-43148.642556856415</v>
      </c>
      <c r="I108" s="108">
        <f t="shared" si="21"/>
        <v>-47866.517937622004</v>
      </c>
      <c r="J108" s="108">
        <f t="shared" si="21"/>
        <v>-52826.123609374452</v>
      </c>
      <c r="K108" s="108">
        <f t="shared" si="21"/>
        <v>-58039.500934151023</v>
      </c>
      <c r="L108" s="108">
        <f t="shared" si="21"/>
        <v>-63519.288458142102</v>
      </c>
      <c r="M108" s="108">
        <f t="shared" si="21"/>
        <v>-69278.751532273236</v>
      </c>
    </row>
    <row r="109" spans="1:15" ht="12.75" x14ac:dyDescent="0.2">
      <c r="A109" s="105" t="s">
        <v>53</v>
      </c>
      <c r="B109" s="103"/>
      <c r="C109" s="103"/>
      <c r="D109" s="108">
        <f t="shared" ref="D109:M109" si="22">D93</f>
        <v>28911.843389013084</v>
      </c>
      <c r="E109" s="108">
        <f t="shared" si="22"/>
        <v>30149.790907369461</v>
      </c>
      <c r="F109" s="108">
        <f t="shared" si="22"/>
        <v>31440.744871477596</v>
      </c>
      <c r="G109" s="108">
        <f t="shared" si="22"/>
        <v>32786.974911714671</v>
      </c>
      <c r="H109" s="108">
        <f t="shared" si="22"/>
        <v>34190.847839504946</v>
      </c>
      <c r="I109" s="108">
        <f t="shared" si="22"/>
        <v>35654.831808423623</v>
      </c>
      <c r="J109" s="108">
        <f t="shared" si="22"/>
        <v>37181.500653462019</v>
      </c>
      <c r="K109" s="108">
        <f t="shared" si="22"/>
        <v>38773.538416097872</v>
      </c>
      <c r="L109" s="108">
        <f t="shared" si="22"/>
        <v>40433.744063113816</v>
      </c>
      <c r="M109" s="108">
        <f t="shared" si="22"/>
        <v>42165.036407474894</v>
      </c>
    </row>
    <row r="110" spans="1:15" ht="12.75" x14ac:dyDescent="0.2">
      <c r="A110" s="105" t="s">
        <v>54</v>
      </c>
      <c r="B110" s="103"/>
      <c r="C110" s="103"/>
      <c r="D110" s="108">
        <f t="shared" ref="D110:M110" si="23">D100</f>
        <v>170000</v>
      </c>
      <c r="E110" s="108">
        <f t="shared" si="23"/>
        <v>178500</v>
      </c>
      <c r="F110" s="108">
        <f t="shared" si="23"/>
        <v>187425</v>
      </c>
      <c r="G110" s="108">
        <f t="shared" si="23"/>
        <v>196796.25</v>
      </c>
      <c r="H110" s="108">
        <f t="shared" si="23"/>
        <v>206636.0625</v>
      </c>
      <c r="I110" s="108">
        <f t="shared" si="23"/>
        <v>216967.86562500056</v>
      </c>
      <c r="J110" s="108">
        <f t="shared" si="23"/>
        <v>227816.25890624989</v>
      </c>
      <c r="K110" s="108">
        <f t="shared" si="23"/>
        <v>239207.07185156271</v>
      </c>
      <c r="L110" s="108">
        <f t="shared" si="23"/>
        <v>251167.42544414103</v>
      </c>
      <c r="M110" s="108">
        <f t="shared" si="23"/>
        <v>263725.79671634827</v>
      </c>
    </row>
    <row r="111" spans="1:15" ht="12.75" x14ac:dyDescent="0.2">
      <c r="A111" s="105" t="s">
        <v>55</v>
      </c>
      <c r="B111" s="103"/>
      <c r="C111" s="103"/>
      <c r="D111" s="108">
        <f t="shared" ref="D111:M111" si="24">SUM(D107:D110)</f>
        <v>247679.36523874491</v>
      </c>
      <c r="E111" s="108">
        <f t="shared" si="24"/>
        <v>265186.92850159435</v>
      </c>
      <c r="F111" s="108">
        <f t="shared" si="24"/>
        <v>283583.80627647007</v>
      </c>
      <c r="G111" s="108">
        <f t="shared" si="24"/>
        <v>302914.399404636</v>
      </c>
      <c r="H111" s="108">
        <f t="shared" si="24"/>
        <v>323225.31937508925</v>
      </c>
      <c r="I111" s="108">
        <f t="shared" si="24"/>
        <v>344565.49838854279</v>
      </c>
      <c r="J111" s="108">
        <f t="shared" si="24"/>
        <v>366986.30490388116</v>
      </c>
      <c r="K111" s="108">
        <f t="shared" si="24"/>
        <v>390541.66494033934</v>
      </c>
      <c r="L111" s="108">
        <f t="shared" si="24"/>
        <v>415288.18942223018</v>
      </c>
      <c r="M111" s="108">
        <f t="shared" si="24"/>
        <v>441285.30786741007</v>
      </c>
    </row>
    <row r="112" spans="1:15" ht="12.75" x14ac:dyDescent="0.2">
      <c r="A112" s="103"/>
      <c r="B112" s="103"/>
      <c r="C112" s="103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</row>
    <row r="113" spans="1:13" ht="12.75" x14ac:dyDescent="0.2">
      <c r="A113" s="105" t="s">
        <v>56</v>
      </c>
      <c r="B113" s="103"/>
      <c r="C113" s="103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</row>
    <row r="114" spans="1:13" ht="12.75" x14ac:dyDescent="0.2">
      <c r="A114" s="105" t="s">
        <v>57</v>
      </c>
      <c r="B114" s="103"/>
      <c r="C114" s="103"/>
      <c r="D114" s="108">
        <f>B41</f>
        <v>1700000</v>
      </c>
      <c r="E114" s="108">
        <f t="shared" ref="E114:M114" si="25">D114</f>
        <v>1700000</v>
      </c>
      <c r="F114" s="108">
        <f t="shared" si="25"/>
        <v>1700000</v>
      </c>
      <c r="G114" s="108">
        <f t="shared" si="25"/>
        <v>1700000</v>
      </c>
      <c r="H114" s="108">
        <f t="shared" si="25"/>
        <v>1700000</v>
      </c>
      <c r="I114" s="108">
        <f t="shared" si="25"/>
        <v>1700000</v>
      </c>
      <c r="J114" s="108">
        <f t="shared" si="25"/>
        <v>1700000</v>
      </c>
      <c r="K114" s="108">
        <f t="shared" si="25"/>
        <v>1700000</v>
      </c>
      <c r="L114" s="108">
        <f t="shared" si="25"/>
        <v>1700000</v>
      </c>
      <c r="M114" s="108">
        <f t="shared" si="25"/>
        <v>1700000</v>
      </c>
    </row>
    <row r="115" spans="1:13" ht="12.75" x14ac:dyDescent="0.2">
      <c r="A115" s="105" t="s">
        <v>129</v>
      </c>
      <c r="B115" s="103"/>
      <c r="C115" s="103"/>
      <c r="D115" s="109">
        <f>D32</f>
        <v>50000</v>
      </c>
      <c r="E115" s="109">
        <f>D115</f>
        <v>50000</v>
      </c>
      <c r="F115" s="109">
        <f t="shared" ref="F115:M115" si="26">E115</f>
        <v>50000</v>
      </c>
      <c r="G115" s="109">
        <f t="shared" si="26"/>
        <v>50000</v>
      </c>
      <c r="H115" s="109">
        <f t="shared" si="26"/>
        <v>50000</v>
      </c>
      <c r="I115" s="109">
        <f t="shared" si="26"/>
        <v>50000</v>
      </c>
      <c r="J115" s="109">
        <f t="shared" si="26"/>
        <v>50000</v>
      </c>
      <c r="K115" s="109">
        <f t="shared" si="26"/>
        <v>50000</v>
      </c>
      <c r="L115" s="109">
        <f t="shared" si="26"/>
        <v>50000</v>
      </c>
      <c r="M115" s="109">
        <f t="shared" si="26"/>
        <v>50000</v>
      </c>
    </row>
    <row r="116" spans="1:13" ht="12.75" x14ac:dyDescent="0.2">
      <c r="A116" s="105" t="s">
        <v>130</v>
      </c>
      <c r="B116" s="103"/>
      <c r="C116" s="103"/>
      <c r="D116" s="108">
        <f>SUM(D114:D115)</f>
        <v>1750000</v>
      </c>
      <c r="E116" s="108">
        <f t="shared" ref="E116:M116" si="27">SUM(E114:E115)</f>
        <v>1750000</v>
      </c>
      <c r="F116" s="108">
        <f t="shared" si="27"/>
        <v>1750000</v>
      </c>
      <c r="G116" s="108">
        <f t="shared" si="27"/>
        <v>1750000</v>
      </c>
      <c r="H116" s="108">
        <f t="shared" si="27"/>
        <v>1750000</v>
      </c>
      <c r="I116" s="108">
        <f t="shared" si="27"/>
        <v>1750000</v>
      </c>
      <c r="J116" s="108">
        <f t="shared" si="27"/>
        <v>1750000</v>
      </c>
      <c r="K116" s="108">
        <f t="shared" si="27"/>
        <v>1750000</v>
      </c>
      <c r="L116" s="108">
        <f t="shared" si="27"/>
        <v>1750000</v>
      </c>
      <c r="M116" s="108">
        <f t="shared" si="27"/>
        <v>1750000</v>
      </c>
    </row>
    <row r="117" spans="1:13" ht="12.75" x14ac:dyDescent="0.2">
      <c r="A117" s="103"/>
      <c r="B117" s="103"/>
      <c r="C117" s="103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</row>
    <row r="118" spans="1:13" ht="12.75" x14ac:dyDescent="0.2">
      <c r="A118" s="105" t="s">
        <v>58</v>
      </c>
      <c r="B118" s="103"/>
      <c r="C118" s="103"/>
      <c r="D118" s="110">
        <f>D111/D116</f>
        <v>0.14153106585071137</v>
      </c>
      <c r="E118" s="110">
        <f t="shared" ref="E118:M118" si="28">E111/E116</f>
        <v>0.15153538771519676</v>
      </c>
      <c r="F118" s="110">
        <f t="shared" si="28"/>
        <v>0.16204788930084005</v>
      </c>
      <c r="G118" s="110">
        <f t="shared" si="28"/>
        <v>0.17309394251693486</v>
      </c>
      <c r="H118" s="110">
        <f t="shared" si="28"/>
        <v>0.18470018250005099</v>
      </c>
      <c r="I118" s="110">
        <f t="shared" si="28"/>
        <v>0.19689457050773873</v>
      </c>
      <c r="J118" s="110">
        <f t="shared" si="28"/>
        <v>0.20970645994507495</v>
      </c>
      <c r="K118" s="110">
        <f t="shared" si="28"/>
        <v>0.22316666568019392</v>
      </c>
      <c r="L118" s="110">
        <f t="shared" si="28"/>
        <v>0.23730753681270295</v>
      </c>
      <c r="M118" s="110">
        <f t="shared" si="28"/>
        <v>0.25216303306709148</v>
      </c>
    </row>
    <row r="119" spans="1:13" ht="12.75" x14ac:dyDescent="0.2">
      <c r="A119" s="103"/>
      <c r="B119" s="103"/>
      <c r="C119" s="103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</row>
    <row r="120" spans="1:13" ht="12.75" x14ac:dyDescent="0.2">
      <c r="A120" s="103"/>
      <c r="B120" s="103"/>
      <c r="C120" s="103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</row>
    <row r="121" spans="1:13" ht="12.75" x14ac:dyDescent="0.2">
      <c r="A121" s="105" t="s">
        <v>92</v>
      </c>
      <c r="B121" s="103"/>
      <c r="C121" s="103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</row>
    <row r="122" spans="1:13" ht="12.75" x14ac:dyDescent="0.2">
      <c r="A122" s="103"/>
      <c r="B122" s="103"/>
      <c r="C122" s="103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</row>
    <row r="123" spans="1:13" ht="12.75" x14ac:dyDescent="0.2">
      <c r="A123" s="103"/>
      <c r="B123" s="103"/>
      <c r="C123" s="103"/>
      <c r="D123" s="107" t="s">
        <v>121</v>
      </c>
      <c r="E123" s="107" t="s">
        <v>97</v>
      </c>
      <c r="F123" s="107" t="s">
        <v>98</v>
      </c>
      <c r="G123" s="107" t="s">
        <v>99</v>
      </c>
      <c r="H123" s="107" t="s">
        <v>100</v>
      </c>
      <c r="I123" s="107" t="s">
        <v>101</v>
      </c>
      <c r="J123" s="107" t="s">
        <v>102</v>
      </c>
      <c r="K123" s="107" t="s">
        <v>103</v>
      </c>
      <c r="L123" s="107" t="s">
        <v>104</v>
      </c>
      <c r="M123" s="107" t="s">
        <v>105</v>
      </c>
    </row>
    <row r="124" spans="1:13" ht="12.75" x14ac:dyDescent="0.2">
      <c r="A124" s="103"/>
      <c r="B124" s="103"/>
      <c r="C124" s="103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</row>
    <row r="125" spans="1:13" ht="12.75" x14ac:dyDescent="0.2">
      <c r="A125" s="105" t="s">
        <v>51</v>
      </c>
      <c r="B125" s="103"/>
      <c r="C125" s="103"/>
      <c r="D125" s="108">
        <f t="shared" ref="D125:M125" si="29">D107</f>
        <v>75240.496562440676</v>
      </c>
      <c r="E125" s="108">
        <f t="shared" si="29"/>
        <v>86870.496562440676</v>
      </c>
      <c r="F125" s="108">
        <f t="shared" si="29"/>
        <v>99110.796562440664</v>
      </c>
      <c r="G125" s="108">
        <f t="shared" si="29"/>
        <v>111992.19956244068</v>
      </c>
      <c r="H125" s="108">
        <f t="shared" si="29"/>
        <v>125547.05159244069</v>
      </c>
      <c r="I125" s="108">
        <f t="shared" si="29"/>
        <v>139809.31889274064</v>
      </c>
      <c r="J125" s="108">
        <f t="shared" si="29"/>
        <v>154814.66895354373</v>
      </c>
      <c r="K125" s="108">
        <f t="shared" si="29"/>
        <v>170600.55560682979</v>
      </c>
      <c r="L125" s="108">
        <f t="shared" si="29"/>
        <v>187206.30837311744</v>
      </c>
      <c r="M125" s="108">
        <f t="shared" si="29"/>
        <v>204673.22627586013</v>
      </c>
    </row>
    <row r="126" spans="1:13" ht="12.75" x14ac:dyDescent="0.2">
      <c r="A126" s="105" t="s">
        <v>52</v>
      </c>
      <c r="B126" s="103"/>
      <c r="C126" s="103"/>
      <c r="D126" s="108">
        <f t="shared" ref="D126:M126" si="30">D108</f>
        <v>-26472.974712708852</v>
      </c>
      <c r="E126" s="108">
        <f t="shared" si="30"/>
        <v>-30333.358968215765</v>
      </c>
      <c r="F126" s="108">
        <f t="shared" si="30"/>
        <v>-34392.735157448202</v>
      </c>
      <c r="G126" s="108">
        <f t="shared" si="30"/>
        <v>-38661.025069519332</v>
      </c>
      <c r="H126" s="108">
        <f t="shared" si="30"/>
        <v>-43148.642556856415</v>
      </c>
      <c r="I126" s="108">
        <f t="shared" si="30"/>
        <v>-47866.517937622004</v>
      </c>
      <c r="J126" s="108">
        <f t="shared" si="30"/>
        <v>-52826.123609374452</v>
      </c>
      <c r="K126" s="108">
        <f t="shared" si="30"/>
        <v>-58039.500934151023</v>
      </c>
      <c r="L126" s="108">
        <f t="shared" si="30"/>
        <v>-63519.288458142102</v>
      </c>
      <c r="M126" s="108">
        <f t="shared" si="30"/>
        <v>-69278.751532273236</v>
      </c>
    </row>
    <row r="127" spans="1:13" ht="12.75" x14ac:dyDescent="0.2">
      <c r="A127" s="105" t="s">
        <v>53</v>
      </c>
      <c r="B127" s="103"/>
      <c r="C127" s="103"/>
      <c r="D127" s="108">
        <f t="shared" ref="D127:M127" si="31">D109</f>
        <v>28911.843389013084</v>
      </c>
      <c r="E127" s="108">
        <f t="shared" si="31"/>
        <v>30149.790907369461</v>
      </c>
      <c r="F127" s="108">
        <f t="shared" si="31"/>
        <v>31440.744871477596</v>
      </c>
      <c r="G127" s="108">
        <f t="shared" si="31"/>
        <v>32786.974911714671</v>
      </c>
      <c r="H127" s="108">
        <f t="shared" si="31"/>
        <v>34190.847839504946</v>
      </c>
      <c r="I127" s="108">
        <f t="shared" si="31"/>
        <v>35654.831808423623</v>
      </c>
      <c r="J127" s="108">
        <f t="shared" si="31"/>
        <v>37181.500653462019</v>
      </c>
      <c r="K127" s="108">
        <f t="shared" si="31"/>
        <v>38773.538416097872</v>
      </c>
      <c r="L127" s="108">
        <f t="shared" si="31"/>
        <v>40433.744063113816</v>
      </c>
      <c r="M127" s="108">
        <f t="shared" si="31"/>
        <v>42165.036407474894</v>
      </c>
    </row>
    <row r="128" spans="1:13" ht="12.75" x14ac:dyDescent="0.2">
      <c r="A128" s="105" t="s">
        <v>54</v>
      </c>
      <c r="B128" s="103"/>
      <c r="C128" s="103"/>
      <c r="D128" s="108">
        <f t="shared" ref="D128:M128" si="32">D110</f>
        <v>170000</v>
      </c>
      <c r="E128" s="108">
        <f t="shared" si="32"/>
        <v>178500</v>
      </c>
      <c r="F128" s="108">
        <f t="shared" si="32"/>
        <v>187425</v>
      </c>
      <c r="G128" s="108">
        <f t="shared" si="32"/>
        <v>196796.25</v>
      </c>
      <c r="H128" s="108">
        <f t="shared" si="32"/>
        <v>206636.0625</v>
      </c>
      <c r="I128" s="108">
        <f t="shared" si="32"/>
        <v>216967.86562500056</v>
      </c>
      <c r="J128" s="108">
        <f t="shared" si="32"/>
        <v>227816.25890624989</v>
      </c>
      <c r="K128" s="108">
        <f t="shared" si="32"/>
        <v>239207.07185156271</v>
      </c>
      <c r="L128" s="108">
        <f t="shared" si="32"/>
        <v>251167.42544414103</v>
      </c>
      <c r="M128" s="108">
        <f t="shared" si="32"/>
        <v>263725.79671634827</v>
      </c>
    </row>
    <row r="129" spans="1:13" ht="12.75" x14ac:dyDescent="0.2">
      <c r="A129" s="105" t="s">
        <v>59</v>
      </c>
      <c r="B129" s="103"/>
      <c r="C129" s="103"/>
      <c r="D129" s="108">
        <f t="shared" ref="D129:M129" si="33">D111</f>
        <v>247679.36523874491</v>
      </c>
      <c r="E129" s="108">
        <f t="shared" si="33"/>
        <v>265186.92850159435</v>
      </c>
      <c r="F129" s="108">
        <f t="shared" si="33"/>
        <v>283583.80627647007</v>
      </c>
      <c r="G129" s="108">
        <f t="shared" si="33"/>
        <v>302914.399404636</v>
      </c>
      <c r="H129" s="108">
        <f t="shared" si="33"/>
        <v>323225.31937508925</v>
      </c>
      <c r="I129" s="108">
        <f t="shared" si="33"/>
        <v>344565.49838854279</v>
      </c>
      <c r="J129" s="108">
        <f t="shared" si="33"/>
        <v>366986.30490388116</v>
      </c>
      <c r="K129" s="108">
        <f t="shared" si="33"/>
        <v>390541.66494033934</v>
      </c>
      <c r="L129" s="108">
        <f t="shared" si="33"/>
        <v>415288.18942223018</v>
      </c>
      <c r="M129" s="108">
        <f t="shared" si="33"/>
        <v>441285.30786741007</v>
      </c>
    </row>
    <row r="130" spans="1:13" ht="12.75" x14ac:dyDescent="0.2">
      <c r="A130" s="103"/>
      <c r="B130" s="103"/>
      <c r="C130" s="103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</row>
    <row r="131" spans="1:13" ht="12.75" x14ac:dyDescent="0.2">
      <c r="A131" s="105" t="s">
        <v>60</v>
      </c>
      <c r="B131" s="103"/>
      <c r="C131" s="103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</row>
    <row r="132" spans="1:13" ht="12.75" x14ac:dyDescent="0.2">
      <c r="A132" s="105" t="s">
        <v>131</v>
      </c>
      <c r="B132" s="103"/>
      <c r="C132" s="103"/>
      <c r="D132" s="108">
        <f t="shared" ref="D132:M132" si="34">D98+$D32</f>
        <v>3450000</v>
      </c>
      <c r="E132" s="108">
        <f t="shared" si="34"/>
        <v>3620000</v>
      </c>
      <c r="F132" s="108">
        <f t="shared" si="34"/>
        <v>3798500</v>
      </c>
      <c r="G132" s="108">
        <f t="shared" si="34"/>
        <v>3985925</v>
      </c>
      <c r="H132" s="108">
        <f t="shared" si="34"/>
        <v>4182721.25</v>
      </c>
      <c r="I132" s="108">
        <f t="shared" si="34"/>
        <v>4389357.3125</v>
      </c>
      <c r="J132" s="108">
        <f t="shared" si="34"/>
        <v>4606325.1781250006</v>
      </c>
      <c r="K132" s="108">
        <f t="shared" si="34"/>
        <v>4834141.4370312504</v>
      </c>
      <c r="L132" s="108">
        <f t="shared" si="34"/>
        <v>5073348.5088828132</v>
      </c>
      <c r="M132" s="108">
        <f t="shared" si="34"/>
        <v>5324515.9343269542</v>
      </c>
    </row>
    <row r="133" spans="1:13" ht="12.75" x14ac:dyDescent="0.2">
      <c r="A133" s="105" t="s">
        <v>61</v>
      </c>
      <c r="B133" s="103"/>
      <c r="C133" s="103"/>
      <c r="D133" s="108">
        <f t="shared" ref="D133:M133" si="35">D88</f>
        <v>1700000</v>
      </c>
      <c r="E133" s="108">
        <f t="shared" si="35"/>
        <v>1671088.1566109869</v>
      </c>
      <c r="F133" s="108">
        <f t="shared" si="35"/>
        <v>1640938.3657036175</v>
      </c>
      <c r="G133" s="108">
        <f t="shared" si="35"/>
        <v>1609497.6208321399</v>
      </c>
      <c r="H133" s="108">
        <f t="shared" si="35"/>
        <v>1576710.6459204252</v>
      </c>
      <c r="I133" s="108">
        <f t="shared" si="35"/>
        <v>1542519.7980809202</v>
      </c>
      <c r="J133" s="108">
        <f t="shared" si="35"/>
        <v>1506864.9662724966</v>
      </c>
      <c r="K133" s="108">
        <f t="shared" si="35"/>
        <v>1469683.4656190346</v>
      </c>
      <c r="L133" s="108">
        <f t="shared" si="35"/>
        <v>1430909.9272029367</v>
      </c>
      <c r="M133" s="108">
        <f t="shared" si="35"/>
        <v>1390476.1831398229</v>
      </c>
    </row>
    <row r="134" spans="1:13" ht="12.75" x14ac:dyDescent="0.2">
      <c r="A134" s="105" t="s">
        <v>62</v>
      </c>
      <c r="B134" s="103"/>
      <c r="C134" s="103"/>
      <c r="D134" s="108">
        <f t="shared" ref="D134:M134" si="36">D132-D133</f>
        <v>1750000</v>
      </c>
      <c r="E134" s="108">
        <f t="shared" si="36"/>
        <v>1948911.8433890131</v>
      </c>
      <c r="F134" s="108">
        <f t="shared" si="36"/>
        <v>2157561.6342963828</v>
      </c>
      <c r="G134" s="108">
        <f t="shared" si="36"/>
        <v>2376427.3791678604</v>
      </c>
      <c r="H134" s="108">
        <f t="shared" si="36"/>
        <v>2606010.6040795748</v>
      </c>
      <c r="I134" s="108">
        <f t="shared" si="36"/>
        <v>2846837.5144190798</v>
      </c>
      <c r="J134" s="108">
        <f t="shared" si="36"/>
        <v>3099460.2118525039</v>
      </c>
      <c r="K134" s="108">
        <f t="shared" si="36"/>
        <v>3364457.9714122158</v>
      </c>
      <c r="L134" s="108">
        <f t="shared" si="36"/>
        <v>3642438.5816798764</v>
      </c>
      <c r="M134" s="108">
        <f t="shared" si="36"/>
        <v>3934039.7511871313</v>
      </c>
    </row>
    <row r="135" spans="1:13" ht="12.75" x14ac:dyDescent="0.2">
      <c r="A135" s="103"/>
      <c r="B135" s="103"/>
      <c r="C135" s="103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</row>
    <row r="136" spans="1:13" ht="12.75" x14ac:dyDescent="0.2">
      <c r="A136" s="105" t="s">
        <v>63</v>
      </c>
      <c r="B136" s="103"/>
      <c r="C136" s="103"/>
      <c r="D136" s="110">
        <f t="shared" ref="D136:M136" si="37">D129/D134</f>
        <v>0.14153106585071137</v>
      </c>
      <c r="E136" s="110">
        <f t="shared" si="37"/>
        <v>0.13606922724655104</v>
      </c>
      <c r="F136" s="110">
        <f t="shared" si="37"/>
        <v>0.13143717508165256</v>
      </c>
      <c r="G136" s="110">
        <f t="shared" si="37"/>
        <v>0.12746629754396524</v>
      </c>
      <c r="H136" s="110">
        <f t="shared" si="37"/>
        <v>0.12403069997838717</v>
      </c>
      <c r="I136" s="110">
        <f t="shared" si="37"/>
        <v>0.12103448006545403</v>
      </c>
      <c r="J136" s="110">
        <f t="shared" si="37"/>
        <v>0.11840329599989884</v>
      </c>
      <c r="K136" s="110">
        <f t="shared" si="37"/>
        <v>0.11607862789750091</v>
      </c>
      <c r="L136" s="110">
        <f t="shared" si="37"/>
        <v>0.11401377953522036</v>
      </c>
      <c r="M136" s="110">
        <f t="shared" si="37"/>
        <v>0.11217103429985635</v>
      </c>
    </row>
    <row r="137" spans="1:13" ht="12.75" x14ac:dyDescent="0.2">
      <c r="A137" s="103"/>
      <c r="B137" s="103"/>
      <c r="C137" s="103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</row>
    <row r="138" spans="1:13" ht="12.75" x14ac:dyDescent="0.2">
      <c r="A138" s="103"/>
      <c r="B138" s="103"/>
      <c r="C138" s="103"/>
      <c r="D138" s="104"/>
      <c r="E138" s="105" t="s">
        <v>89</v>
      </c>
      <c r="F138" s="104"/>
      <c r="G138" s="104"/>
      <c r="H138" s="104"/>
      <c r="I138" s="104"/>
      <c r="J138" s="104"/>
      <c r="K138" s="104"/>
      <c r="L138" s="104"/>
      <c r="M138" s="104"/>
    </row>
    <row r="139" spans="1:13" ht="12.75" x14ac:dyDescent="0.2">
      <c r="A139" s="103"/>
      <c r="B139" s="103"/>
      <c r="C139" s="103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</row>
    <row r="140" spans="1:13" ht="12.75" x14ac:dyDescent="0.2">
      <c r="A140" s="103"/>
      <c r="B140" s="103"/>
      <c r="C140" s="103"/>
      <c r="D140" s="107" t="s">
        <v>121</v>
      </c>
      <c r="E140" s="107" t="s">
        <v>97</v>
      </c>
      <c r="F140" s="107" t="s">
        <v>98</v>
      </c>
      <c r="G140" s="107" t="s">
        <v>99</v>
      </c>
      <c r="H140" s="107" t="s">
        <v>100</v>
      </c>
      <c r="I140" s="107" t="s">
        <v>101</v>
      </c>
      <c r="J140" s="107" t="s">
        <v>102</v>
      </c>
      <c r="K140" s="107" t="s">
        <v>103</v>
      </c>
      <c r="L140" s="107" t="s">
        <v>104</v>
      </c>
      <c r="M140" s="107" t="s">
        <v>105</v>
      </c>
    </row>
    <row r="141" spans="1:13" ht="12.75" x14ac:dyDescent="0.2">
      <c r="A141" s="105" t="s">
        <v>64</v>
      </c>
      <c r="B141" s="103"/>
      <c r="C141" s="103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</row>
    <row r="142" spans="1:13" ht="12.75" x14ac:dyDescent="0.2">
      <c r="A142" s="105" t="s">
        <v>65</v>
      </c>
      <c r="B142" s="103"/>
      <c r="C142" s="103"/>
      <c r="D142" s="108">
        <f>B40+B43</f>
        <v>3434000</v>
      </c>
      <c r="E142" s="108">
        <f t="shared" ref="E142:M142" si="38">D142</f>
        <v>3434000</v>
      </c>
      <c r="F142" s="108">
        <f t="shared" si="38"/>
        <v>3434000</v>
      </c>
      <c r="G142" s="108">
        <f t="shared" si="38"/>
        <v>3434000</v>
      </c>
      <c r="H142" s="108">
        <f t="shared" si="38"/>
        <v>3434000</v>
      </c>
      <c r="I142" s="108">
        <f t="shared" si="38"/>
        <v>3434000</v>
      </c>
      <c r="J142" s="108">
        <f t="shared" si="38"/>
        <v>3434000</v>
      </c>
      <c r="K142" s="108">
        <f t="shared" si="38"/>
        <v>3434000</v>
      </c>
      <c r="L142" s="108">
        <f t="shared" si="38"/>
        <v>3434000</v>
      </c>
      <c r="M142" s="108">
        <f t="shared" si="38"/>
        <v>3434000</v>
      </c>
    </row>
    <row r="143" spans="1:13" ht="12.75" x14ac:dyDescent="0.2">
      <c r="A143" s="105" t="s">
        <v>66</v>
      </c>
      <c r="B143" s="103"/>
      <c r="C143" s="103"/>
      <c r="D143" s="108">
        <f>D32</f>
        <v>50000</v>
      </c>
      <c r="E143" s="108">
        <f>D32</f>
        <v>50000</v>
      </c>
      <c r="F143" s="108">
        <f>D32</f>
        <v>50000</v>
      </c>
      <c r="G143" s="108">
        <f>D32</f>
        <v>50000</v>
      </c>
      <c r="H143" s="108">
        <f>D32</f>
        <v>50000</v>
      </c>
      <c r="I143" s="108">
        <f>D32</f>
        <v>50000</v>
      </c>
      <c r="J143" s="108">
        <f>D32</f>
        <v>50000</v>
      </c>
      <c r="K143" s="108">
        <f>D32</f>
        <v>50000</v>
      </c>
      <c r="L143" s="108">
        <f>D32</f>
        <v>50000</v>
      </c>
      <c r="M143" s="108">
        <f>D32</f>
        <v>50000</v>
      </c>
    </row>
    <row r="144" spans="1:13" ht="12.75" x14ac:dyDescent="0.2">
      <c r="A144" s="105" t="s">
        <v>67</v>
      </c>
      <c r="B144" s="103"/>
      <c r="C144" s="111">
        <f>D34/100</f>
        <v>0.05</v>
      </c>
      <c r="D144" s="108">
        <f>C144*D99</f>
        <v>178500</v>
      </c>
      <c r="E144" s="108">
        <f>C144*E99</f>
        <v>187425</v>
      </c>
      <c r="F144" s="108">
        <f>C144*F99</f>
        <v>196796.25</v>
      </c>
      <c r="G144" s="108">
        <f>C144*G99</f>
        <v>206636.0625</v>
      </c>
      <c r="H144" s="108">
        <f>C144*H99</f>
        <v>216967.86562500001</v>
      </c>
      <c r="I144" s="108">
        <f>C144*I99</f>
        <v>227816.25890625003</v>
      </c>
      <c r="J144" s="108">
        <f>C144*J99</f>
        <v>239207.07185156253</v>
      </c>
      <c r="K144" s="108">
        <f>C144*K99</f>
        <v>251167.42544414068</v>
      </c>
      <c r="L144" s="108">
        <f>C144*L99</f>
        <v>263725.79671634774</v>
      </c>
      <c r="M144" s="108">
        <f>C144*M99</f>
        <v>276912.08655216516</v>
      </c>
    </row>
    <row r="145" spans="1:13" ht="12.75" x14ac:dyDescent="0.2">
      <c r="A145" s="105" t="s">
        <v>68</v>
      </c>
      <c r="B145" s="103"/>
      <c r="C145" s="103"/>
      <c r="D145" s="108">
        <f>D79</f>
        <v>15909.09090909091</v>
      </c>
      <c r="E145" s="108">
        <f t="shared" ref="E145:M145" si="39">D145+E79</f>
        <v>31818.18181818182</v>
      </c>
      <c r="F145" s="108">
        <f t="shared" si="39"/>
        <v>47727.272727272728</v>
      </c>
      <c r="G145" s="108">
        <f t="shared" si="39"/>
        <v>63636.36363636364</v>
      </c>
      <c r="H145" s="108">
        <f t="shared" si="39"/>
        <v>79545.454545454544</v>
      </c>
      <c r="I145" s="108">
        <f t="shared" si="39"/>
        <v>95454.545454545456</v>
      </c>
      <c r="J145" s="108">
        <f t="shared" si="39"/>
        <v>111363.63636363637</v>
      </c>
      <c r="K145" s="108">
        <f t="shared" si="39"/>
        <v>127272.72727272728</v>
      </c>
      <c r="L145" s="108">
        <f t="shared" si="39"/>
        <v>143181.81818181818</v>
      </c>
      <c r="M145" s="108">
        <f t="shared" si="39"/>
        <v>159090.90909090909</v>
      </c>
    </row>
    <row r="146" spans="1:13" ht="12.75" x14ac:dyDescent="0.2">
      <c r="A146" s="105" t="s">
        <v>69</v>
      </c>
      <c r="B146" s="103"/>
      <c r="C146" s="103"/>
      <c r="D146" s="108">
        <f t="shared" ref="D146:M146" si="40">D142+D143+D144-D145</f>
        <v>3646590.9090909092</v>
      </c>
      <c r="E146" s="108">
        <f t="shared" si="40"/>
        <v>3639606.8181818184</v>
      </c>
      <c r="F146" s="108">
        <f t="shared" si="40"/>
        <v>3633068.9772727271</v>
      </c>
      <c r="G146" s="108">
        <f t="shared" si="40"/>
        <v>3626999.6988636362</v>
      </c>
      <c r="H146" s="108">
        <f t="shared" si="40"/>
        <v>3621422.4110795455</v>
      </c>
      <c r="I146" s="108">
        <f t="shared" si="40"/>
        <v>3616361.7134517045</v>
      </c>
      <c r="J146" s="108">
        <f t="shared" si="40"/>
        <v>3611843.4354879265</v>
      </c>
      <c r="K146" s="108">
        <f t="shared" si="40"/>
        <v>3607894.6981714135</v>
      </c>
      <c r="L146" s="108">
        <f t="shared" si="40"/>
        <v>3604543.9785345295</v>
      </c>
      <c r="M146" s="108">
        <f t="shared" si="40"/>
        <v>3601821.1774612558</v>
      </c>
    </row>
    <row r="147" spans="1:13" ht="12.75" x14ac:dyDescent="0.2">
      <c r="A147" s="103"/>
      <c r="B147" s="103"/>
      <c r="C147" s="103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</row>
    <row r="148" spans="1:13" ht="12.75" x14ac:dyDescent="0.2">
      <c r="A148" s="103" t="s">
        <v>135</v>
      </c>
      <c r="B148" s="103"/>
      <c r="C148" s="103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</row>
    <row r="149" spans="1:13" ht="12.75" x14ac:dyDescent="0.2">
      <c r="A149" s="103" t="s">
        <v>70</v>
      </c>
      <c r="B149" s="103"/>
      <c r="C149" s="103"/>
      <c r="D149" s="108">
        <f t="shared" ref="D149:M149" si="41">D99</f>
        <v>3570000</v>
      </c>
      <c r="E149" s="108">
        <f t="shared" si="41"/>
        <v>3748500</v>
      </c>
      <c r="F149" s="108">
        <f t="shared" si="41"/>
        <v>3935925</v>
      </c>
      <c r="G149" s="108">
        <f t="shared" si="41"/>
        <v>4132721.25</v>
      </c>
      <c r="H149" s="108">
        <f t="shared" si="41"/>
        <v>4339357.3125</v>
      </c>
      <c r="I149" s="108">
        <f t="shared" si="41"/>
        <v>4556325.1781250006</v>
      </c>
      <c r="J149" s="108">
        <f t="shared" si="41"/>
        <v>4784141.4370312504</v>
      </c>
      <c r="K149" s="108">
        <f t="shared" si="41"/>
        <v>5023348.5088828132</v>
      </c>
      <c r="L149" s="108">
        <f t="shared" si="41"/>
        <v>5274515.9343269542</v>
      </c>
      <c r="M149" s="108">
        <f t="shared" si="41"/>
        <v>5538241.7310433025</v>
      </c>
    </row>
    <row r="150" spans="1:13" ht="12.75" x14ac:dyDescent="0.2">
      <c r="A150" s="103" t="s">
        <v>136</v>
      </c>
      <c r="B150" s="103"/>
      <c r="C150" s="103"/>
      <c r="D150" s="108">
        <f>D142+D143+D144</f>
        <v>3662500</v>
      </c>
      <c r="E150" s="108">
        <f t="shared" ref="E150:M150" si="42">E142+E143+E144</f>
        <v>3671425</v>
      </c>
      <c r="F150" s="108">
        <f t="shared" si="42"/>
        <v>3680796.25</v>
      </c>
      <c r="G150" s="108">
        <f t="shared" si="42"/>
        <v>3690636.0625</v>
      </c>
      <c r="H150" s="108">
        <f t="shared" si="42"/>
        <v>3700967.8656250001</v>
      </c>
      <c r="I150" s="108">
        <f t="shared" si="42"/>
        <v>3711816.2589062499</v>
      </c>
      <c r="J150" s="108">
        <f t="shared" si="42"/>
        <v>3723207.0718515627</v>
      </c>
      <c r="K150" s="108">
        <f t="shared" si="42"/>
        <v>3735167.4254441406</v>
      </c>
      <c r="L150" s="108">
        <f t="shared" si="42"/>
        <v>3747725.7967163478</v>
      </c>
      <c r="M150" s="108">
        <f t="shared" si="42"/>
        <v>3760912.086552165</v>
      </c>
    </row>
    <row r="151" spans="1:13" ht="12.75" x14ac:dyDescent="0.2">
      <c r="A151" s="103" t="s">
        <v>137</v>
      </c>
      <c r="B151" s="103"/>
      <c r="C151" s="103"/>
      <c r="D151" s="108">
        <f>D149-D150</f>
        <v>-92500</v>
      </c>
      <c r="E151" s="108">
        <f t="shared" ref="E151:M151" si="43">E149-E150</f>
        <v>77075</v>
      </c>
      <c r="F151" s="108">
        <f t="shared" si="43"/>
        <v>255128.75</v>
      </c>
      <c r="G151" s="108">
        <f t="shared" si="43"/>
        <v>442085.1875</v>
      </c>
      <c r="H151" s="108">
        <f t="shared" si="43"/>
        <v>638389.44687499991</v>
      </c>
      <c r="I151" s="108">
        <f t="shared" si="43"/>
        <v>844508.91921875067</v>
      </c>
      <c r="J151" s="108">
        <f t="shared" si="43"/>
        <v>1060934.3651796877</v>
      </c>
      <c r="K151" s="108">
        <f t="shared" si="43"/>
        <v>1288181.0834386726</v>
      </c>
      <c r="L151" s="108">
        <f t="shared" si="43"/>
        <v>1526790.1376106064</v>
      </c>
      <c r="M151" s="108">
        <f t="shared" si="43"/>
        <v>1777329.6444911375</v>
      </c>
    </row>
    <row r="152" spans="1:13" ht="12.75" x14ac:dyDescent="0.2">
      <c r="A152" s="103"/>
      <c r="B152" s="103"/>
      <c r="C152" s="103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</row>
    <row r="153" spans="1:13" ht="12.75" x14ac:dyDescent="0.2">
      <c r="A153" s="105" t="s">
        <v>134</v>
      </c>
      <c r="B153" s="103"/>
      <c r="C153" s="103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</row>
    <row r="154" spans="1:13" ht="12.75" x14ac:dyDescent="0.2">
      <c r="A154" s="105" t="s">
        <v>70</v>
      </c>
      <c r="B154" s="103"/>
      <c r="C154" s="103"/>
      <c r="D154" s="108">
        <f t="shared" ref="D154:M154" si="44">D99</f>
        <v>3570000</v>
      </c>
      <c r="E154" s="108">
        <f t="shared" si="44"/>
        <v>3748500</v>
      </c>
      <c r="F154" s="108">
        <f t="shared" si="44"/>
        <v>3935925</v>
      </c>
      <c r="G154" s="108">
        <f t="shared" si="44"/>
        <v>4132721.25</v>
      </c>
      <c r="H154" s="108">
        <f t="shared" si="44"/>
        <v>4339357.3125</v>
      </c>
      <c r="I154" s="108">
        <f t="shared" si="44"/>
        <v>4556325.1781250006</v>
      </c>
      <c r="J154" s="108">
        <f t="shared" si="44"/>
        <v>4784141.4370312504</v>
      </c>
      <c r="K154" s="108">
        <f t="shared" si="44"/>
        <v>5023348.5088828132</v>
      </c>
      <c r="L154" s="108">
        <f t="shared" si="44"/>
        <v>5274515.9343269542</v>
      </c>
      <c r="M154" s="108">
        <f t="shared" si="44"/>
        <v>5538241.7310433025</v>
      </c>
    </row>
    <row r="155" spans="1:13" ht="12.75" x14ac:dyDescent="0.2">
      <c r="A155" s="105" t="s">
        <v>71</v>
      </c>
      <c r="B155" s="103"/>
      <c r="C155" s="103"/>
      <c r="D155" s="108">
        <f t="shared" ref="D155:M155" si="45">D146</f>
        <v>3646590.9090909092</v>
      </c>
      <c r="E155" s="108">
        <f t="shared" si="45"/>
        <v>3639606.8181818184</v>
      </c>
      <c r="F155" s="108">
        <f t="shared" si="45"/>
        <v>3633068.9772727271</v>
      </c>
      <c r="G155" s="108">
        <f t="shared" si="45"/>
        <v>3626999.6988636362</v>
      </c>
      <c r="H155" s="108">
        <f t="shared" si="45"/>
        <v>3621422.4110795455</v>
      </c>
      <c r="I155" s="108">
        <f t="shared" si="45"/>
        <v>3616361.7134517045</v>
      </c>
      <c r="J155" s="108">
        <f t="shared" si="45"/>
        <v>3611843.4354879265</v>
      </c>
      <c r="K155" s="108">
        <f t="shared" si="45"/>
        <v>3607894.6981714135</v>
      </c>
      <c r="L155" s="108">
        <f t="shared" si="45"/>
        <v>3604543.9785345295</v>
      </c>
      <c r="M155" s="108">
        <f t="shared" si="45"/>
        <v>3601821.1774612558</v>
      </c>
    </row>
    <row r="156" spans="1:13" ht="12.75" x14ac:dyDescent="0.2">
      <c r="A156" s="105" t="s">
        <v>140</v>
      </c>
      <c r="B156" s="103"/>
      <c r="C156" s="103"/>
      <c r="D156" s="108">
        <f t="shared" ref="D156:M156" si="46">D154-D155</f>
        <v>-76590.909090909176</v>
      </c>
      <c r="E156" s="108">
        <f t="shared" si="46"/>
        <v>108893.18181818165</v>
      </c>
      <c r="F156" s="108">
        <f t="shared" si="46"/>
        <v>302856.02272727294</v>
      </c>
      <c r="G156" s="108">
        <f t="shared" si="46"/>
        <v>505721.55113636376</v>
      </c>
      <c r="H156" s="108">
        <f t="shared" si="46"/>
        <v>717934.90142045449</v>
      </c>
      <c r="I156" s="108">
        <f t="shared" si="46"/>
        <v>939963.46467329608</v>
      </c>
      <c r="J156" s="108">
        <f t="shared" si="46"/>
        <v>1172298.001543324</v>
      </c>
      <c r="K156" s="108">
        <f t="shared" si="46"/>
        <v>1415453.8107113997</v>
      </c>
      <c r="L156" s="108">
        <f t="shared" si="46"/>
        <v>1669971.9557924247</v>
      </c>
      <c r="M156" s="108">
        <f t="shared" si="46"/>
        <v>1936420.5535820466</v>
      </c>
    </row>
    <row r="157" spans="1:13" ht="12.75" x14ac:dyDescent="0.2">
      <c r="A157" s="103"/>
      <c r="B157" s="103"/>
      <c r="C157" s="103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</row>
    <row r="158" spans="1:13" ht="12.75" x14ac:dyDescent="0.2">
      <c r="A158" s="105" t="s">
        <v>72</v>
      </c>
      <c r="B158" s="103"/>
      <c r="C158" s="103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</row>
    <row r="159" spans="1:13" ht="12.75" x14ac:dyDescent="0.2">
      <c r="A159" s="105" t="s">
        <v>139</v>
      </c>
      <c r="B159" s="103"/>
      <c r="C159" s="103"/>
      <c r="D159" s="108">
        <f t="shared" ref="D159:M159" si="47">D156</f>
        <v>-76590.909090909176</v>
      </c>
      <c r="E159" s="108">
        <f t="shared" si="47"/>
        <v>108893.18181818165</v>
      </c>
      <c r="F159" s="108">
        <f t="shared" si="47"/>
        <v>302856.02272727294</v>
      </c>
      <c r="G159" s="108">
        <f t="shared" si="47"/>
        <v>505721.55113636376</v>
      </c>
      <c r="H159" s="108">
        <f t="shared" si="47"/>
        <v>717934.90142045449</v>
      </c>
      <c r="I159" s="108">
        <f t="shared" si="47"/>
        <v>939963.46467329608</v>
      </c>
      <c r="J159" s="108">
        <f t="shared" si="47"/>
        <v>1172298.001543324</v>
      </c>
      <c r="K159" s="108">
        <f t="shared" si="47"/>
        <v>1415453.8107113997</v>
      </c>
      <c r="L159" s="108">
        <f t="shared" si="47"/>
        <v>1669971.9557924247</v>
      </c>
      <c r="M159" s="108">
        <f t="shared" si="47"/>
        <v>1936420.5535820466</v>
      </c>
    </row>
    <row r="160" spans="1:13" ht="12.75" x14ac:dyDescent="0.2">
      <c r="A160" s="105" t="s">
        <v>73</v>
      </c>
      <c r="B160" s="103"/>
      <c r="C160" s="103"/>
      <c r="D160" s="108"/>
      <c r="E160" s="108">
        <f t="shared" ref="E160:M160" si="48">((E145*$D$31)+(E151*$D$30))/100</f>
        <v>23369.545454545456</v>
      </c>
      <c r="F160" s="108">
        <f t="shared" si="48"/>
        <v>62957.568181818184</v>
      </c>
      <c r="G160" s="108">
        <f t="shared" si="48"/>
        <v>104326.12840909092</v>
      </c>
      <c r="H160" s="108">
        <f t="shared" si="48"/>
        <v>147564.25301136362</v>
      </c>
      <c r="I160" s="108">
        <f t="shared" si="48"/>
        <v>192765.42020738649</v>
      </c>
      <c r="J160" s="108">
        <f t="shared" si="48"/>
        <v>240027.78212684664</v>
      </c>
      <c r="K160" s="108">
        <f t="shared" si="48"/>
        <v>289454.39850591635</v>
      </c>
      <c r="L160" s="108">
        <f t="shared" si="48"/>
        <v>341153.48206757585</v>
      </c>
      <c r="M160" s="108">
        <f t="shared" si="48"/>
        <v>395238.65617095475</v>
      </c>
    </row>
    <row r="161" spans="1:13" ht="12.75" x14ac:dyDescent="0.2">
      <c r="A161" s="103"/>
      <c r="B161" s="103"/>
      <c r="C161" s="103"/>
      <c r="D161" s="104"/>
      <c r="E161" s="108"/>
      <c r="F161" s="104"/>
      <c r="G161" s="104"/>
      <c r="H161" s="104"/>
      <c r="I161" s="104"/>
      <c r="J161" s="104"/>
      <c r="K161" s="104"/>
      <c r="L161" s="104"/>
      <c r="M161" s="104"/>
    </row>
    <row r="162" spans="1:13" ht="12.75" x14ac:dyDescent="0.2">
      <c r="A162" s="105" t="s">
        <v>122</v>
      </c>
      <c r="B162" s="103"/>
      <c r="C162" s="103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</row>
    <row r="163" spans="1:13" ht="12.75" x14ac:dyDescent="0.2">
      <c r="A163" s="105" t="s">
        <v>70</v>
      </c>
      <c r="B163" s="103"/>
      <c r="C163" s="103"/>
      <c r="D163" s="108">
        <f t="shared" ref="D163:M163" si="49">D154</f>
        <v>3570000</v>
      </c>
      <c r="E163" s="108">
        <f t="shared" si="49"/>
        <v>3748500</v>
      </c>
      <c r="F163" s="108">
        <f t="shared" si="49"/>
        <v>3935925</v>
      </c>
      <c r="G163" s="108">
        <f t="shared" si="49"/>
        <v>4132721.25</v>
      </c>
      <c r="H163" s="108">
        <f t="shared" si="49"/>
        <v>4339357.3125</v>
      </c>
      <c r="I163" s="108">
        <f t="shared" si="49"/>
        <v>4556325.1781250006</v>
      </c>
      <c r="J163" s="108">
        <f t="shared" si="49"/>
        <v>4784141.4370312504</v>
      </c>
      <c r="K163" s="108">
        <f t="shared" si="49"/>
        <v>5023348.5088828132</v>
      </c>
      <c r="L163" s="108">
        <f t="shared" si="49"/>
        <v>5274515.9343269542</v>
      </c>
      <c r="M163" s="108">
        <f t="shared" si="49"/>
        <v>5538241.7310433025</v>
      </c>
    </row>
    <row r="164" spans="1:13" ht="12.75" x14ac:dyDescent="0.2">
      <c r="A164" s="105" t="s">
        <v>74</v>
      </c>
      <c r="B164" s="103"/>
      <c r="C164" s="103"/>
      <c r="D164" s="108">
        <f t="shared" ref="D164:M164" si="50">D144</f>
        <v>178500</v>
      </c>
      <c r="E164" s="108">
        <f t="shared" si="50"/>
        <v>187425</v>
      </c>
      <c r="F164" s="108">
        <f t="shared" si="50"/>
        <v>196796.25</v>
      </c>
      <c r="G164" s="108">
        <f t="shared" si="50"/>
        <v>206636.0625</v>
      </c>
      <c r="H164" s="108">
        <f t="shared" si="50"/>
        <v>216967.86562500001</v>
      </c>
      <c r="I164" s="108">
        <f t="shared" si="50"/>
        <v>227816.25890625003</v>
      </c>
      <c r="J164" s="108">
        <f t="shared" si="50"/>
        <v>239207.07185156253</v>
      </c>
      <c r="K164" s="108">
        <f t="shared" si="50"/>
        <v>251167.42544414068</v>
      </c>
      <c r="L164" s="108">
        <f t="shared" si="50"/>
        <v>263725.79671634774</v>
      </c>
      <c r="M164" s="108">
        <f t="shared" si="50"/>
        <v>276912.08655216516</v>
      </c>
    </row>
    <row r="165" spans="1:13" ht="12.75" x14ac:dyDescent="0.2">
      <c r="A165" s="105" t="s">
        <v>75</v>
      </c>
      <c r="B165" s="103"/>
      <c r="C165" s="103"/>
      <c r="D165" s="108">
        <f t="shared" ref="D165:M165" si="51">D92</f>
        <v>1671088.1566109869</v>
      </c>
      <c r="E165" s="108">
        <f t="shared" si="51"/>
        <v>1640938.3657036175</v>
      </c>
      <c r="F165" s="108">
        <f t="shared" si="51"/>
        <v>1609497.6208321399</v>
      </c>
      <c r="G165" s="108">
        <f t="shared" si="51"/>
        <v>1576710.6459204252</v>
      </c>
      <c r="H165" s="108">
        <f t="shared" si="51"/>
        <v>1542519.7980809202</v>
      </c>
      <c r="I165" s="108">
        <f t="shared" si="51"/>
        <v>1506864.9662724966</v>
      </c>
      <c r="J165" s="108">
        <f t="shared" si="51"/>
        <v>1469683.4656190346</v>
      </c>
      <c r="K165" s="108">
        <f t="shared" si="51"/>
        <v>1430909.9272029367</v>
      </c>
      <c r="L165" s="108">
        <f t="shared" si="51"/>
        <v>1390476.1831398229</v>
      </c>
      <c r="M165" s="108">
        <f t="shared" si="51"/>
        <v>1348311.146732348</v>
      </c>
    </row>
    <row r="166" spans="1:13" ht="12.75" x14ac:dyDescent="0.2">
      <c r="A166" s="105" t="s">
        <v>76</v>
      </c>
      <c r="B166" s="103"/>
      <c r="C166" s="103"/>
      <c r="D166" s="108">
        <f t="shared" ref="D166:M166" si="52">D163-D164-D165</f>
        <v>1720411.8433890131</v>
      </c>
      <c r="E166" s="108">
        <f t="shared" si="52"/>
        <v>1920136.6342963825</v>
      </c>
      <c r="F166" s="108">
        <f t="shared" si="52"/>
        <v>2129631.1291678604</v>
      </c>
      <c r="G166" s="108">
        <f t="shared" si="52"/>
        <v>2349374.5415795748</v>
      </c>
      <c r="H166" s="108">
        <f t="shared" si="52"/>
        <v>2579869.6487940797</v>
      </c>
      <c r="I166" s="108">
        <f t="shared" si="52"/>
        <v>2821643.9529462541</v>
      </c>
      <c r="J166" s="108">
        <f t="shared" si="52"/>
        <v>3075250.8995606531</v>
      </c>
      <c r="K166" s="108">
        <f t="shared" si="52"/>
        <v>3341271.1562357354</v>
      </c>
      <c r="L166" s="108">
        <f t="shared" si="52"/>
        <v>3620313.9544707839</v>
      </c>
      <c r="M166" s="108">
        <f t="shared" si="52"/>
        <v>3913018.497758789</v>
      </c>
    </row>
    <row r="167" spans="1:13" ht="12.75" x14ac:dyDescent="0.2">
      <c r="A167" s="105" t="s">
        <v>77</v>
      </c>
      <c r="B167" s="103"/>
      <c r="C167" s="103"/>
      <c r="D167" s="108">
        <f t="shared" ref="D167:M167" si="53">D160</f>
        <v>0</v>
      </c>
      <c r="E167" s="108">
        <f t="shared" si="53"/>
        <v>23369.545454545456</v>
      </c>
      <c r="F167" s="108">
        <f t="shared" si="53"/>
        <v>62957.568181818184</v>
      </c>
      <c r="G167" s="108">
        <f t="shared" si="53"/>
        <v>104326.12840909092</v>
      </c>
      <c r="H167" s="108">
        <f t="shared" si="53"/>
        <v>147564.25301136362</v>
      </c>
      <c r="I167" s="108">
        <f t="shared" si="53"/>
        <v>192765.42020738649</v>
      </c>
      <c r="J167" s="108">
        <f t="shared" si="53"/>
        <v>240027.78212684664</v>
      </c>
      <c r="K167" s="108">
        <f t="shared" si="53"/>
        <v>289454.39850591635</v>
      </c>
      <c r="L167" s="108">
        <f t="shared" si="53"/>
        <v>341153.48206757585</v>
      </c>
      <c r="M167" s="108">
        <f t="shared" si="53"/>
        <v>395238.65617095475</v>
      </c>
    </row>
    <row r="168" spans="1:13" ht="12.75" x14ac:dyDescent="0.2">
      <c r="A168" s="105" t="s">
        <v>78</v>
      </c>
      <c r="B168" s="103"/>
      <c r="C168" s="103"/>
      <c r="D168" s="108">
        <f t="shared" ref="D168:M168" si="54">D166-D167</f>
        <v>1720411.8433890131</v>
      </c>
      <c r="E168" s="108">
        <f t="shared" si="54"/>
        <v>1896767.0888418371</v>
      </c>
      <c r="F168" s="108">
        <f t="shared" si="54"/>
        <v>2066673.5609860423</v>
      </c>
      <c r="G168" s="108">
        <f t="shared" si="54"/>
        <v>2245048.4131704839</v>
      </c>
      <c r="H168" s="108">
        <f t="shared" si="54"/>
        <v>2432305.3957827161</v>
      </c>
      <c r="I168" s="108">
        <f t="shared" si="54"/>
        <v>2628878.5327388677</v>
      </c>
      <c r="J168" s="108">
        <f t="shared" si="54"/>
        <v>2835223.1174338064</v>
      </c>
      <c r="K168" s="108">
        <f t="shared" si="54"/>
        <v>3051816.757729819</v>
      </c>
      <c r="L168" s="108">
        <f t="shared" si="54"/>
        <v>3279160.4724032083</v>
      </c>
      <c r="M168" s="108">
        <f t="shared" si="54"/>
        <v>3517779.8415878341</v>
      </c>
    </row>
    <row r="169" spans="1:13" ht="12.75" hidden="1" x14ac:dyDescent="0.2">
      <c r="A169" s="103"/>
      <c r="B169" s="103"/>
      <c r="C169" s="103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</row>
    <row r="170" spans="1:13" ht="12.75" hidden="1" x14ac:dyDescent="0.2">
      <c r="A170" s="103"/>
      <c r="B170" s="103"/>
      <c r="C170" s="103"/>
      <c r="D170" s="110"/>
      <c r="E170" s="108"/>
      <c r="F170" s="108"/>
      <c r="G170" s="108"/>
      <c r="H170" s="108"/>
      <c r="I170" s="108"/>
      <c r="J170" s="108"/>
      <c r="K170" s="108"/>
      <c r="L170" s="108"/>
      <c r="M170" s="108"/>
    </row>
    <row r="171" spans="1:13" ht="12.75" hidden="1" x14ac:dyDescent="0.2">
      <c r="A171" s="105"/>
      <c r="B171" s="103"/>
      <c r="C171" s="103"/>
      <c r="D171" s="104"/>
      <c r="E171" s="110"/>
      <c r="F171" s="108"/>
      <c r="G171" s="108"/>
      <c r="H171" s="108"/>
      <c r="I171" s="108"/>
      <c r="J171" s="108"/>
      <c r="K171" s="108"/>
      <c r="L171" s="108"/>
      <c r="M171" s="108"/>
    </row>
    <row r="172" spans="1:13" ht="12.75" hidden="1" x14ac:dyDescent="0.2">
      <c r="A172" s="105"/>
      <c r="B172" s="103"/>
      <c r="C172" s="103"/>
      <c r="D172" s="104"/>
      <c r="E172" s="104"/>
      <c r="F172" s="110"/>
      <c r="G172" s="108"/>
      <c r="H172" s="108"/>
      <c r="I172" s="108"/>
      <c r="J172" s="108"/>
      <c r="K172" s="108"/>
      <c r="L172" s="108"/>
      <c r="M172" s="108"/>
    </row>
    <row r="173" spans="1:13" ht="12.75" hidden="1" x14ac:dyDescent="0.2">
      <c r="A173" s="105"/>
      <c r="B173" s="103"/>
      <c r="C173" s="103"/>
      <c r="D173" s="104"/>
      <c r="E173" s="104"/>
      <c r="F173" s="104"/>
      <c r="G173" s="110"/>
      <c r="H173" s="108"/>
      <c r="I173" s="108"/>
      <c r="J173" s="108"/>
      <c r="K173" s="108"/>
      <c r="L173" s="108"/>
      <c r="M173" s="108"/>
    </row>
    <row r="174" spans="1:13" ht="12.75" hidden="1" x14ac:dyDescent="0.2">
      <c r="A174" s="105"/>
      <c r="B174" s="103"/>
      <c r="C174" s="103"/>
      <c r="D174" s="104"/>
      <c r="E174" s="104"/>
      <c r="F174" s="104"/>
      <c r="G174" s="104"/>
      <c r="H174" s="110"/>
      <c r="I174" s="108"/>
      <c r="J174" s="108"/>
      <c r="K174" s="108"/>
      <c r="L174" s="108"/>
      <c r="M174" s="108"/>
    </row>
    <row r="175" spans="1:13" ht="12.75" hidden="1" x14ac:dyDescent="0.2">
      <c r="A175" s="103"/>
      <c r="B175" s="103"/>
      <c r="C175" s="103"/>
      <c r="D175" s="104"/>
      <c r="E175" s="104"/>
      <c r="F175" s="104"/>
      <c r="G175" s="104"/>
      <c r="H175" s="104"/>
      <c r="I175" s="110"/>
      <c r="J175" s="108"/>
      <c r="K175" s="108"/>
      <c r="L175" s="108"/>
      <c r="M175" s="108"/>
    </row>
    <row r="176" spans="1:13" ht="12.75" hidden="1" x14ac:dyDescent="0.2">
      <c r="A176" s="103"/>
      <c r="B176" s="103"/>
      <c r="C176" s="103"/>
      <c r="D176" s="104"/>
      <c r="E176" s="104"/>
      <c r="F176" s="104"/>
      <c r="G176" s="104"/>
      <c r="H176" s="104"/>
      <c r="I176" s="104"/>
      <c r="J176" s="110"/>
      <c r="K176" s="108"/>
      <c r="L176" s="108"/>
      <c r="M176" s="108"/>
    </row>
    <row r="177" spans="1:13" ht="12.75" hidden="1" x14ac:dyDescent="0.2">
      <c r="A177" s="103"/>
      <c r="B177" s="103"/>
      <c r="C177" s="103"/>
      <c r="D177" s="104"/>
      <c r="E177" s="104"/>
      <c r="F177" s="104"/>
      <c r="G177" s="104"/>
      <c r="H177" s="104"/>
      <c r="I177" s="104"/>
      <c r="J177" s="104"/>
      <c r="K177" s="110"/>
      <c r="L177" s="108"/>
      <c r="M177" s="108"/>
    </row>
    <row r="178" spans="1:13" ht="12.75" hidden="1" x14ac:dyDescent="0.2">
      <c r="A178" s="103"/>
      <c r="B178" s="103"/>
      <c r="C178" s="103"/>
      <c r="D178" s="104"/>
      <c r="E178" s="104"/>
      <c r="F178" s="104"/>
      <c r="G178" s="104"/>
      <c r="H178" s="104"/>
      <c r="I178" s="104"/>
      <c r="J178" s="104"/>
      <c r="K178" s="104"/>
      <c r="L178" s="110"/>
      <c r="M178" s="108"/>
    </row>
    <row r="179" spans="1:13" ht="12.75" hidden="1" x14ac:dyDescent="0.2">
      <c r="A179" s="103"/>
      <c r="B179" s="103"/>
      <c r="C179" s="103"/>
      <c r="D179" s="104"/>
      <c r="E179" s="104"/>
      <c r="F179" s="104"/>
      <c r="G179" s="104"/>
      <c r="H179" s="104"/>
      <c r="I179" s="104"/>
      <c r="J179" s="104"/>
      <c r="K179" s="104"/>
      <c r="L179" s="104"/>
      <c r="M179" s="110"/>
    </row>
    <row r="180" spans="1:13" ht="12.75" x14ac:dyDescent="0.2">
      <c r="A180" s="103" t="s">
        <v>138</v>
      </c>
      <c r="B180" s="103"/>
      <c r="C180" s="103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</row>
    <row r="181" spans="1:13" ht="12.75" x14ac:dyDescent="0.2">
      <c r="A181" s="112"/>
      <c r="B181" s="112"/>
      <c r="C181" s="112"/>
      <c r="D181" s="113"/>
      <c r="E181" s="113"/>
      <c r="F181" s="114" t="s">
        <v>90</v>
      </c>
      <c r="G181" s="113"/>
      <c r="H181" s="113"/>
      <c r="I181" s="113"/>
      <c r="J181" s="113"/>
      <c r="K181" s="113"/>
      <c r="L181" s="113"/>
      <c r="M181" s="113"/>
    </row>
    <row r="182" spans="1:13" ht="12.75" x14ac:dyDescent="0.2">
      <c r="A182" s="112"/>
      <c r="B182" s="112"/>
      <c r="C182" s="11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</row>
    <row r="183" spans="1:13" ht="12.75" x14ac:dyDescent="0.2">
      <c r="A183" s="114"/>
      <c r="B183" s="112"/>
      <c r="C183" s="112"/>
      <c r="D183" s="115" t="s">
        <v>121</v>
      </c>
      <c r="E183" s="115" t="s">
        <v>97</v>
      </c>
      <c r="F183" s="115" t="s">
        <v>98</v>
      </c>
      <c r="G183" s="115" t="s">
        <v>99</v>
      </c>
      <c r="H183" s="115" t="s">
        <v>100</v>
      </c>
      <c r="I183" s="115" t="s">
        <v>101</v>
      </c>
      <c r="J183" s="115" t="s">
        <v>102</v>
      </c>
      <c r="K183" s="115" t="s">
        <v>103</v>
      </c>
      <c r="L183" s="115" t="s">
        <v>104</v>
      </c>
      <c r="M183" s="115" t="s">
        <v>105</v>
      </c>
    </row>
    <row r="184" spans="1:13" ht="12.75" x14ac:dyDescent="0.2">
      <c r="A184" s="112"/>
      <c r="B184" s="112"/>
      <c r="C184" s="11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</row>
    <row r="185" spans="1:13" ht="12.75" x14ac:dyDescent="0.2">
      <c r="A185" s="114" t="s">
        <v>40</v>
      </c>
      <c r="B185" s="112"/>
      <c r="C185" s="112"/>
      <c r="D185" s="116">
        <f t="shared" ref="D185:M185" si="55">D65</f>
        <v>175000</v>
      </c>
      <c r="E185" s="116">
        <f t="shared" si="55"/>
        <v>186630</v>
      </c>
      <c r="F185" s="116">
        <f t="shared" si="55"/>
        <v>198870.3</v>
      </c>
      <c r="G185" s="116">
        <f t="shared" si="55"/>
        <v>211751.70300000001</v>
      </c>
      <c r="H185" s="116">
        <f t="shared" si="55"/>
        <v>225306.55503000002</v>
      </c>
      <c r="I185" s="116">
        <f t="shared" si="55"/>
        <v>239568.82233029997</v>
      </c>
      <c r="J185" s="116">
        <f t="shared" si="55"/>
        <v>254574.17239110306</v>
      </c>
      <c r="K185" s="116">
        <f t="shared" si="55"/>
        <v>270360.05904438911</v>
      </c>
      <c r="L185" s="116">
        <f t="shared" si="55"/>
        <v>286965.81181067677</v>
      </c>
      <c r="M185" s="116">
        <f t="shared" si="55"/>
        <v>304432.72971341945</v>
      </c>
    </row>
    <row r="186" spans="1:13" ht="12.75" x14ac:dyDescent="0.2">
      <c r="A186" s="114" t="s">
        <v>79</v>
      </c>
      <c r="B186" s="112"/>
      <c r="C186" s="112"/>
      <c r="D186" s="116">
        <f t="shared" ref="D186:M186" si="56">D72</f>
        <v>99759.503437559324</v>
      </c>
      <c r="E186" s="116">
        <f t="shared" si="56"/>
        <v>99759.503437559324</v>
      </c>
      <c r="F186" s="116">
        <f t="shared" si="56"/>
        <v>99759.503437559324</v>
      </c>
      <c r="G186" s="116">
        <f t="shared" si="56"/>
        <v>99759.503437559324</v>
      </c>
      <c r="H186" s="116">
        <f t="shared" si="56"/>
        <v>99759.503437559324</v>
      </c>
      <c r="I186" s="116">
        <f t="shared" si="56"/>
        <v>99759.503437559324</v>
      </c>
      <c r="J186" s="116">
        <f t="shared" si="56"/>
        <v>99759.503437559324</v>
      </c>
      <c r="K186" s="116">
        <f t="shared" si="56"/>
        <v>99759.503437559324</v>
      </c>
      <c r="L186" s="116">
        <f t="shared" si="56"/>
        <v>99759.503437559324</v>
      </c>
      <c r="M186" s="116">
        <f t="shared" si="56"/>
        <v>99759.503437559324</v>
      </c>
    </row>
    <row r="187" spans="1:13" ht="12.75" x14ac:dyDescent="0.2">
      <c r="A187" s="114" t="s">
        <v>91</v>
      </c>
      <c r="B187" s="112"/>
      <c r="C187" s="112"/>
      <c r="D187" s="117">
        <f t="shared" ref="D187:M187" si="57">D185/D186</f>
        <v>1.7542188359982627</v>
      </c>
      <c r="E187" s="117">
        <f t="shared" si="57"/>
        <v>1.8707992077848901</v>
      </c>
      <c r="F187" s="117">
        <f t="shared" si="57"/>
        <v>1.9934972924607159</v>
      </c>
      <c r="G187" s="117">
        <f t="shared" si="57"/>
        <v>2.1226218626131992</v>
      </c>
      <c r="H187" s="117">
        <f t="shared" si="57"/>
        <v>2.2584971583286007</v>
      </c>
      <c r="I187" s="117">
        <f t="shared" si="57"/>
        <v>2.4014636608556192</v>
      </c>
      <c r="J187" s="117">
        <f t="shared" si="57"/>
        <v>2.5518789049550965</v>
      </c>
      <c r="K187" s="117">
        <f t="shared" si="57"/>
        <v>2.7101183318701132</v>
      </c>
      <c r="L187" s="117">
        <f t="shared" si="57"/>
        <v>2.8765761849475537</v>
      </c>
      <c r="M187" s="117">
        <f t="shared" si="57"/>
        <v>3.051666450043705</v>
      </c>
    </row>
    <row r="188" spans="1:13" ht="12.75" x14ac:dyDescent="0.2">
      <c r="A188" s="112"/>
      <c r="B188" s="112"/>
      <c r="C188" s="11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</row>
    <row r="189" spans="1:13" ht="12.75" x14ac:dyDescent="0.2">
      <c r="A189" s="112"/>
      <c r="B189" s="112"/>
      <c r="C189" s="112"/>
      <c r="D189" s="113"/>
      <c r="E189" s="118"/>
      <c r="F189" s="113"/>
      <c r="G189" s="113"/>
      <c r="H189" s="113"/>
      <c r="I189" s="113"/>
      <c r="J189" s="113"/>
      <c r="K189" s="113"/>
      <c r="L189" s="118" t="s">
        <v>144</v>
      </c>
      <c r="M189" s="113"/>
    </row>
    <row r="190" spans="1:13" x14ac:dyDescent="0.15">
      <c r="A190" s="119"/>
      <c r="B190" s="119"/>
      <c r="C190" s="119"/>
      <c r="D190" s="119"/>
      <c r="E190" s="120"/>
      <c r="F190" s="119"/>
      <c r="G190" s="119"/>
      <c r="H190" s="119"/>
      <c r="I190" s="119"/>
      <c r="J190" s="119"/>
      <c r="K190" s="119"/>
      <c r="L190" s="119"/>
      <c r="M190" s="119"/>
    </row>
    <row r="193" spans="1:13" x14ac:dyDescent="0.15">
      <c r="D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15">
      <c r="A194" s="4" t="s">
        <v>81</v>
      </c>
    </row>
    <row r="195" spans="1:13" x14ac:dyDescent="0.15">
      <c r="A195" s="4" t="s">
        <v>80</v>
      </c>
    </row>
    <row r="218" spans="1:5" s="130" customFormat="1" ht="18.75" x14ac:dyDescent="0.25">
      <c r="A218" s="130" t="s">
        <v>133</v>
      </c>
      <c r="E218" s="131"/>
    </row>
    <row r="248" spans="1:5" s="130" customFormat="1" ht="18.75" x14ac:dyDescent="0.25">
      <c r="A248" s="130" t="s">
        <v>161</v>
      </c>
      <c r="E248" s="131"/>
    </row>
  </sheetData>
  <phoneticPr fontId="0" type="noConversion"/>
  <pageMargins left="0.13" right="0.08" top="0.5" bottom="0.5" header="0.5" footer="0.5"/>
  <pageSetup pageOrder="overThenDown" orientation="landscape" horizontalDpi="300" verticalDpi="300" r:id="rId1"/>
  <headerFooter alignWithMargins="0"/>
  <rowBreaks count="2" manualBreakCount="2">
    <brk id="34" max="16383" man="1"/>
    <brk id="1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12" sqref="A12"/>
    </sheetView>
  </sheetViews>
  <sheetFormatPr defaultRowHeight="12" x14ac:dyDescent="0.15"/>
  <sheetData>
    <row r="3" spans="1:1" x14ac:dyDescent="0.15">
      <c r="A3" t="s">
        <v>154</v>
      </c>
    </row>
    <row r="4" spans="1:1" x14ac:dyDescent="0.15">
      <c r="A4" t="s">
        <v>34</v>
      </c>
    </row>
    <row r="5" spans="1:1" x14ac:dyDescent="0.15">
      <c r="A5" t="s">
        <v>35</v>
      </c>
    </row>
    <row r="6" spans="1:1" x14ac:dyDescent="0.15">
      <c r="A6" t="s">
        <v>155</v>
      </c>
    </row>
    <row r="7" spans="1:1" x14ac:dyDescent="0.15">
      <c r="A7" s="13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10year</vt:lpstr>
      <vt:lpstr>Expenses</vt:lpstr>
      <vt:lpstr>'10year'!Print_Area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Jaime, Geoff [SLS]</dc:creator>
  <cp:lastModifiedBy>Owner</cp:lastModifiedBy>
  <cp:lastPrinted>2009-10-31T18:41:43Z</cp:lastPrinted>
  <dcterms:created xsi:type="dcterms:W3CDTF">1999-10-15T19:40:07Z</dcterms:created>
  <dcterms:modified xsi:type="dcterms:W3CDTF">2013-11-27T17:07:16Z</dcterms:modified>
</cp:coreProperties>
</file>